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1"/>
  </bookViews>
  <sheets>
    <sheet name="1" sheetId="1" r:id="rId1"/>
    <sheet name="2" sheetId="2" r:id="rId2"/>
    <sheet name="a" sheetId="3" r:id="rId3"/>
  </sheets>
  <definedNames>
    <definedName name="_xlnm.Print_Area" localSheetId="0">'1'!$A$1:$W$70</definedName>
    <definedName name="_xlnm.Print_Area" localSheetId="1">'2'!$A$1:$W$71</definedName>
    <definedName name="_xlnm.Print_Area" localSheetId="2">'a'!$A$1:$U$63</definedName>
  </definedNames>
  <calcPr fullCalcOnLoad="1"/>
</workbook>
</file>

<file path=xl/sharedStrings.xml><?xml version="1.0" encoding="utf-8"?>
<sst xmlns="http://schemas.openxmlformats.org/spreadsheetml/2006/main" count="230" uniqueCount="208">
  <si>
    <t>*2)</t>
  </si>
  <si>
    <t>*3)</t>
  </si>
  <si>
    <t>*4)</t>
  </si>
  <si>
    <t xml:space="preserve"> Project</t>
  </si>
  <si>
    <t xml:space="preserve"> Client</t>
  </si>
  <si>
    <t xml:space="preserve"> Contractor</t>
  </si>
  <si>
    <t xml:space="preserve"> Service of Unit</t>
  </si>
  <si>
    <t>Item No.</t>
  </si>
  <si>
    <r>
      <t xml:space="preserve"> </t>
    </r>
    <r>
      <rPr>
        <b/>
        <u val="single"/>
        <sz val="8"/>
        <rFont val="Arial"/>
        <family val="2"/>
      </rPr>
      <t>Remarks</t>
    </r>
  </si>
  <si>
    <t>*1)</t>
  </si>
  <si>
    <t>Job No.</t>
  </si>
  <si>
    <t>Doc. No.</t>
  </si>
  <si>
    <t>Date</t>
  </si>
  <si>
    <t>Revision</t>
  </si>
  <si>
    <t>J</t>
  </si>
  <si>
    <t>A A A A A</t>
  </si>
  <si>
    <t xml:space="preserve"> Project</t>
  </si>
  <si>
    <t>Job No.</t>
  </si>
  <si>
    <t xml:space="preserve"> Client</t>
  </si>
  <si>
    <t>Doc. No.</t>
  </si>
  <si>
    <t xml:space="preserve"> Contractor</t>
  </si>
  <si>
    <t>Date</t>
  </si>
  <si>
    <t>2007.  1.  15.</t>
  </si>
  <si>
    <t xml:space="preserve"> Code/Standard</t>
  </si>
  <si>
    <t>Revision</t>
  </si>
  <si>
    <t xml:space="preserve"> Service of Unit</t>
  </si>
  <si>
    <t>Item No.</t>
  </si>
  <si>
    <r>
      <t xml:space="preserve"> </t>
    </r>
    <r>
      <rPr>
        <b/>
        <u val="single"/>
        <sz val="8"/>
        <rFont val="Arial"/>
        <family val="2"/>
      </rPr>
      <t>Remarks</t>
    </r>
  </si>
  <si>
    <t>*1)</t>
  </si>
  <si>
    <t>*5)</t>
  </si>
  <si>
    <t>D E S I G N     I N F O R M A T I O N</t>
  </si>
  <si>
    <t>DI - AAA - 100</t>
  </si>
  <si>
    <t xml:space="preserve"> No. of Shells Per Unit</t>
  </si>
  <si>
    <t>No. of Units</t>
  </si>
  <si>
    <t xml:space="preserve"> Surface Per Shell</t>
  </si>
  <si>
    <t>S P E C I F I C A T I O N     o f     U - T U B E</t>
  </si>
  <si>
    <t>SS - UT - 100</t>
  </si>
  <si>
    <t>SETL &gt;</t>
  </si>
  <si>
    <t xml:space="preserve">Extrusion </t>
  </si>
  <si>
    <t>&lt;- Tubesheet Thk</t>
  </si>
  <si>
    <t>Material Code</t>
  </si>
  <si>
    <t>Material</t>
  </si>
  <si>
    <t>Thickness</t>
  </si>
  <si>
    <t>OD</t>
  </si>
  <si>
    <t>ASTM</t>
  </si>
  <si>
    <t>A 213 TP304</t>
  </si>
  <si>
    <t>Avg.</t>
  </si>
  <si>
    <t>2007.  9.  15.</t>
  </si>
  <si>
    <t>Row</t>
  </si>
  <si>
    <t>No.</t>
  </si>
  <si>
    <t>mm</t>
  </si>
  <si>
    <t>Pitch Pattern</t>
  </si>
  <si>
    <t>Pitch</t>
  </si>
  <si>
    <t>Triangular</t>
  </si>
  <si>
    <t>Ratio, Pitch / OD</t>
  </si>
  <si>
    <t>=</t>
  </si>
  <si>
    <t>x</t>
  </si>
  <si>
    <t xml:space="preserve">" R " Increase </t>
  </si>
  <si>
    <t>kg/m</t>
  </si>
  <si>
    <t>S.G.</t>
  </si>
  <si>
    <t>Act. Thk</t>
  </si>
  <si>
    <t>Q'ty</t>
  </si>
  <si>
    <t>Surface Area, Eff., m2</t>
  </si>
  <si>
    <t>per Tube</t>
  </si>
  <si>
    <t>Sum</t>
  </si>
  <si>
    <t>Installed</t>
  </si>
  <si>
    <t>부산정관집단에너지시설건설공사</t>
  </si>
  <si>
    <t>부산정관집단에너지주식회사</t>
  </si>
  <si>
    <r>
      <t>현대건설㈜</t>
    </r>
    <r>
      <rPr>
        <b/>
        <sz val="8"/>
        <color indexed="12"/>
        <rFont val="Arial"/>
        <family val="2"/>
      </rPr>
      <t xml:space="preserve"> / </t>
    </r>
    <r>
      <rPr>
        <b/>
        <sz val="8"/>
        <color indexed="12"/>
        <rFont val="돋움"/>
        <family val="3"/>
      </rPr>
      <t>동부건설㈜</t>
    </r>
  </si>
  <si>
    <t>No. 1 &amp; 2 DH Heater</t>
  </si>
  <si>
    <t>1DH-HE-01 &amp; 2DH-HE-01</t>
  </si>
  <si>
    <t>m2</t>
  </si>
  <si>
    <t>Total</t>
  </si>
  <si>
    <t>Effective</t>
  </si>
  <si>
    <t>Max.</t>
  </si>
  <si>
    <t>No</t>
  </si>
  <si>
    <t>OTL</t>
  </si>
  <si>
    <t>Shift of 1st Tube Location</t>
  </si>
  <si>
    <t>Tube Weight</t>
  </si>
  <si>
    <r>
      <t xml:space="preserve">Bending " 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" </t>
    </r>
  </si>
  <si>
    <t>x0</t>
  </si>
  <si>
    <t>y0</t>
  </si>
  <si>
    <t>Tube Type</t>
  </si>
  <si>
    <t>U-tube</t>
  </si>
  <si>
    <t>Bending "R"</t>
  </si>
  <si>
    <t>Bend Lgt</t>
  </si>
  <si>
    <t>UTL =</t>
  </si>
  <si>
    <t>Nth =</t>
  </si>
  <si>
    <t>Ntbrow =</t>
  </si>
  <si>
    <t>Ntbt =</t>
  </si>
  <si>
    <t>&lt; py</t>
  </si>
  <si>
    <t>UTLa</t>
  </si>
  <si>
    <t>Add. Shift of x0 to px/2</t>
  </si>
  <si>
    <t>%Up for Min.</t>
  </si>
  <si>
    <t>Ntbta &gt;</t>
  </si>
  <si>
    <t>Upper Segment Area, m2 &gt;</t>
  </si>
  <si>
    <t>Yes</t>
  </si>
  <si>
    <t>&lt; px</t>
  </si>
  <si>
    <t>OTLa</t>
  </si>
  <si>
    <t>Specification</t>
  </si>
  <si>
    <t>D E S I G N     D A T A</t>
  </si>
  <si>
    <r>
      <t>발주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길이는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실제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길이에</t>
    </r>
    <r>
      <rPr>
        <sz val="8"/>
        <rFont val="Arial"/>
        <family val="2"/>
      </rPr>
      <t xml:space="preserve"> </t>
    </r>
  </si>
  <si>
    <r>
      <t xml:space="preserve">mm </t>
    </r>
    <r>
      <rPr>
        <sz val="8"/>
        <rFont val="돋움"/>
        <family val="3"/>
      </rPr>
      <t>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여유로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더한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길이임</t>
    </r>
    <r>
      <rPr>
        <sz val="8"/>
        <rFont val="Arial"/>
        <family val="2"/>
      </rPr>
      <t>.</t>
    </r>
  </si>
  <si>
    <t>Weight, kg</t>
  </si>
  <si>
    <t>Ordered</t>
  </si>
  <si>
    <t>kg/tube</t>
  </si>
  <si>
    <t>kg/tube</t>
  </si>
  <si>
    <t>*4)</t>
  </si>
  <si>
    <t>Spare</t>
  </si>
  <si>
    <t>% Up</t>
  </si>
  <si>
    <r>
      <t xml:space="preserve">Spare </t>
    </r>
    <r>
      <rPr>
        <b/>
        <sz val="8"/>
        <rFont val="돋움"/>
        <family val="3"/>
      </rPr>
      <t>포함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발주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수량</t>
    </r>
    <r>
      <rPr>
        <b/>
        <sz val="8"/>
        <rFont val="Arial"/>
        <family val="2"/>
      </rPr>
      <t xml:space="preserve"> &gt; </t>
    </r>
  </si>
  <si>
    <t>T U B E     D A T A     p e r     O N E     S H E L L</t>
  </si>
  <si>
    <t xml:space="preserve"> Sum per One Shell</t>
  </si>
  <si>
    <r>
      <t xml:space="preserve">Spare </t>
    </r>
    <r>
      <rPr>
        <b/>
        <sz val="8"/>
        <rFont val="돋움"/>
        <family val="3"/>
      </rPr>
      <t>포함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수량</t>
    </r>
    <r>
      <rPr>
        <b/>
        <sz val="8"/>
        <rFont val="Arial"/>
        <family val="2"/>
      </rPr>
      <t xml:space="preserve"> &gt; </t>
    </r>
  </si>
  <si>
    <t>S P E C I F I C A T I O N     o f     U - T U B E</t>
  </si>
  <si>
    <t xml:space="preserve"> Project</t>
  </si>
  <si>
    <t xml:space="preserve"> Client</t>
  </si>
  <si>
    <t>Doc. No.</t>
  </si>
  <si>
    <t>SS - UT - 100</t>
  </si>
  <si>
    <t xml:space="preserve"> Contractor</t>
  </si>
  <si>
    <t>Date</t>
  </si>
  <si>
    <t>Revision</t>
  </si>
  <si>
    <t xml:space="preserve"> Service of Unit</t>
  </si>
  <si>
    <t>Item No.</t>
  </si>
  <si>
    <t xml:space="preserve"> Surface Per Shell</t>
  </si>
  <si>
    <t>Effective</t>
  </si>
  <si>
    <t>Total</t>
  </si>
  <si>
    <t>m2</t>
  </si>
  <si>
    <t xml:space="preserve"> No. of Shells Per Unit</t>
  </si>
  <si>
    <t>No. of Units</t>
  </si>
  <si>
    <t>D E S I G N     D A T A</t>
  </si>
  <si>
    <t>OTLa</t>
  </si>
  <si>
    <t>UTLa</t>
  </si>
  <si>
    <t>Specification</t>
  </si>
  <si>
    <t>Material Code</t>
  </si>
  <si>
    <t>OTL</t>
  </si>
  <si>
    <t>UTL =</t>
  </si>
  <si>
    <r>
      <t xml:space="preserve">Bending " 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" </t>
    </r>
  </si>
  <si>
    <t>Material</t>
  </si>
  <si>
    <t>S.G.</t>
  </si>
  <si>
    <t>Nth =</t>
  </si>
  <si>
    <t>&lt; py</t>
  </si>
  <si>
    <t>SETL &gt;</t>
  </si>
  <si>
    <t>OD</t>
  </si>
  <si>
    <t>Ntbrow =</t>
  </si>
  <si>
    <t>&lt; px</t>
  </si>
  <si>
    <t>Thickness</t>
  </si>
  <si>
    <t>Tube Weight</t>
  </si>
  <si>
    <t>kg/m</t>
  </si>
  <si>
    <t>Act. Thk</t>
  </si>
  <si>
    <t>%Up for Min.</t>
  </si>
  <si>
    <t>Ntbt =</t>
  </si>
  <si>
    <t xml:space="preserve">Extrusion </t>
  </si>
  <si>
    <t>Pitch Pattern</t>
  </si>
  <si>
    <t>Shift of 1st Tube Location</t>
  </si>
  <si>
    <t>Ntbta &gt;</t>
  </si>
  <si>
    <t>&lt;- Tubesheet Thk</t>
  </si>
  <si>
    <t>Pitch</t>
  </si>
  <si>
    <t xml:space="preserve">" R " Increase </t>
  </si>
  <si>
    <t>Upper Segment Area, m2 &gt;</t>
  </si>
  <si>
    <t>Ratio, Pitch / OD</t>
  </si>
  <si>
    <t>x0</t>
  </si>
  <si>
    <t>y0</t>
  </si>
  <si>
    <t>x</t>
  </si>
  <si>
    <t>Add. Shift of x0 to px/2</t>
  </si>
  <si>
    <t>=</t>
  </si>
  <si>
    <t>Tube Type</t>
  </si>
  <si>
    <t>U-tube</t>
  </si>
  <si>
    <t>T U B E     D A T A     p e r     O N E     S H E L L</t>
  </si>
  <si>
    <t>Row</t>
  </si>
  <si>
    <t>Bending "R"</t>
  </si>
  <si>
    <t>Bend Lgt</t>
  </si>
  <si>
    <t>Q'ty</t>
  </si>
  <si>
    <t>Weight, kg</t>
  </si>
  <si>
    <t>Spare</t>
  </si>
  <si>
    <t>Surface Area, Eff., m2</t>
  </si>
  <si>
    <t>No.</t>
  </si>
  <si>
    <t>mm</t>
  </si>
  <si>
    <t>Max.</t>
  </si>
  <si>
    <t>Installed</t>
  </si>
  <si>
    <t>Ordered</t>
  </si>
  <si>
    <t>kg/tube</t>
  </si>
  <si>
    <t>per Tube</t>
  </si>
  <si>
    <t>Sum</t>
  </si>
  <si>
    <t xml:space="preserve"> Sum per One Shell</t>
  </si>
  <si>
    <t>% Up</t>
  </si>
  <si>
    <r>
      <t xml:space="preserve">Spare </t>
    </r>
    <r>
      <rPr>
        <b/>
        <sz val="8"/>
        <rFont val="돋움"/>
        <family val="3"/>
      </rPr>
      <t>포함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수량</t>
    </r>
    <r>
      <rPr>
        <b/>
        <sz val="8"/>
        <rFont val="Arial"/>
        <family val="2"/>
      </rPr>
      <t xml:space="preserve"> &gt; </t>
    </r>
  </si>
  <si>
    <r>
      <t xml:space="preserve">Spare </t>
    </r>
    <r>
      <rPr>
        <b/>
        <sz val="8"/>
        <rFont val="돋움"/>
        <family val="3"/>
      </rPr>
      <t>포함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발주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</rPr>
      <t>수량</t>
    </r>
    <r>
      <rPr>
        <b/>
        <sz val="8"/>
        <rFont val="Arial"/>
        <family val="2"/>
      </rPr>
      <t xml:space="preserve"> &gt; </t>
    </r>
  </si>
  <si>
    <r>
      <t>발주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길이는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실제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길이에</t>
    </r>
    <r>
      <rPr>
        <sz val="8"/>
        <rFont val="Arial"/>
        <family val="2"/>
      </rPr>
      <t xml:space="preserve"> </t>
    </r>
  </si>
  <si>
    <r>
      <t xml:space="preserve">mm </t>
    </r>
    <r>
      <rPr>
        <sz val="8"/>
        <rFont val="돋움"/>
        <family val="3"/>
      </rPr>
      <t>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여유로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더한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길이임</t>
    </r>
    <r>
      <rPr>
        <sz val="8"/>
        <rFont val="Arial"/>
        <family val="2"/>
      </rPr>
      <t>.</t>
    </r>
  </si>
  <si>
    <t>Jeddah South Thermal Power Plant Stage-I</t>
  </si>
  <si>
    <t>Saudi Electricity Company ( SEC )</t>
  </si>
  <si>
    <t>Hyundai Heavy Industries Co., Ltd.</t>
  </si>
  <si>
    <t>HFO Pump Suction Heater</t>
  </si>
  <si>
    <t>Contract No.</t>
  </si>
  <si>
    <t>31121106/00</t>
  </si>
  <si>
    <t>2013.    9.   30.</t>
  </si>
  <si>
    <t>00EGB11/12/13/14/15/16AH001</t>
  </si>
  <si>
    <t>A 179</t>
  </si>
  <si>
    <t xml:space="preserve"> NTES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</si>
  <si>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</si>
  <si>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</si>
  <si>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 xml:space="preserve">Narai Thermal Engineering Services </t>
  </si>
  <si>
    <t>*5)</t>
  </si>
  <si>
    <t>U-bend &gt;</t>
  </si>
  <si>
    <t xml:space="preserve">Straight &gt; </t>
  </si>
  <si>
    <t>%</t>
  </si>
  <si>
    <t xml:space="preserve">Narai Thermal Engineering Services 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</si>
</sst>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#,##0.0_ "/>
  </numFmts>
  <fonts count="14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돋움"/>
      <family val="3"/>
    </font>
    <font>
      <b/>
      <sz val="7"/>
      <name val="Arial"/>
      <family val="2"/>
    </font>
    <font>
      <sz val="7"/>
      <name val="Arial"/>
      <family val="2"/>
    </font>
    <font>
      <b/>
      <sz val="8"/>
      <name val="돋움"/>
      <family val="3"/>
    </font>
    <font>
      <b/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0" fillId="0" borderId="24" xfId="0" applyFont="1" applyBorder="1" applyAlignment="1">
      <alignment/>
    </xf>
    <xf numFmtId="182" fontId="11" fillId="0" borderId="21" xfId="0" applyNumberFormat="1" applyFont="1" applyBorder="1" applyAlignment="1">
      <alignment horizontal="center"/>
    </xf>
    <xf numFmtId="182" fontId="11" fillId="0" borderId="22" xfId="0" applyNumberFormat="1" applyFont="1" applyBorder="1" applyAlignment="1">
      <alignment horizontal="center"/>
    </xf>
    <xf numFmtId="182" fontId="11" fillId="0" borderId="23" xfId="0" applyNumberFormat="1" applyFont="1" applyBorder="1" applyAlignment="1">
      <alignment horizontal="center"/>
    </xf>
    <xf numFmtId="182" fontId="11" fillId="0" borderId="25" xfId="0" applyNumberFormat="1" applyFont="1" applyBorder="1" applyAlignment="1">
      <alignment horizontal="center"/>
    </xf>
    <xf numFmtId="182" fontId="11" fillId="0" borderId="24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6" xfId="0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3" fillId="0" borderId="2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5" fontId="3" fillId="0" borderId="19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37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1" fontId="2" fillId="0" borderId="42" xfId="0" applyNumberFormat="1" applyFont="1" applyBorder="1" applyAlignment="1">
      <alignment horizontal="center"/>
    </xf>
    <xf numFmtId="181" fontId="2" fillId="0" borderId="35" xfId="0" applyNumberFormat="1" applyFont="1" applyBorder="1" applyAlignment="1">
      <alignment horizontal="center"/>
    </xf>
    <xf numFmtId="182" fontId="2" fillId="0" borderId="35" xfId="0" applyNumberFormat="1" applyFont="1" applyBorder="1" applyAlignment="1">
      <alignment horizontal="center"/>
    </xf>
    <xf numFmtId="182" fontId="2" fillId="0" borderId="36" xfId="0" applyNumberFormat="1" applyFont="1" applyBorder="1" applyAlignment="1">
      <alignment horizontal="center"/>
    </xf>
    <xf numFmtId="181" fontId="2" fillId="0" borderId="43" xfId="0" applyNumberFormat="1" applyFont="1" applyBorder="1" applyAlignment="1">
      <alignment horizontal="center"/>
    </xf>
    <xf numFmtId="181" fontId="2" fillId="0" borderId="38" xfId="0" applyNumberFormat="1" applyFont="1" applyBorder="1" applyAlignment="1">
      <alignment horizontal="center"/>
    </xf>
    <xf numFmtId="182" fontId="2" fillId="0" borderId="38" xfId="0" applyNumberFormat="1" applyFont="1" applyBorder="1" applyAlignment="1">
      <alignment horizontal="center"/>
    </xf>
    <xf numFmtId="182" fontId="2" fillId="0" borderId="39" xfId="0" applyNumberFormat="1" applyFont="1" applyBorder="1" applyAlignment="1">
      <alignment horizontal="center"/>
    </xf>
    <xf numFmtId="181" fontId="2" fillId="0" borderId="44" xfId="0" applyNumberFormat="1" applyFont="1" applyBorder="1" applyAlignment="1">
      <alignment horizontal="center"/>
    </xf>
    <xf numFmtId="181" fontId="2" fillId="0" borderId="40" xfId="0" applyNumberFormat="1" applyFont="1" applyBorder="1" applyAlignment="1">
      <alignment horizontal="center"/>
    </xf>
    <xf numFmtId="182" fontId="2" fillId="0" borderId="40" xfId="0" applyNumberFormat="1" applyFont="1" applyBorder="1" applyAlignment="1">
      <alignment horizontal="center"/>
    </xf>
    <xf numFmtId="182" fontId="2" fillId="0" borderId="41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176" fontId="3" fillId="0" borderId="45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176" fontId="2" fillId="0" borderId="38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176" fontId="2" fillId="0" borderId="40" xfId="0" applyNumberFormat="1" applyFont="1" applyBorder="1" applyAlignment="1">
      <alignment horizontal="center"/>
    </xf>
    <xf numFmtId="176" fontId="2" fillId="0" borderId="36" xfId="0" applyNumberFormat="1" applyFont="1" applyBorder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center"/>
    </xf>
    <xf numFmtId="176" fontId="2" fillId="0" borderId="41" xfId="0" applyNumberFormat="1" applyFont="1" applyBorder="1" applyAlignment="1">
      <alignment horizontal="center"/>
    </xf>
    <xf numFmtId="183" fontId="2" fillId="0" borderId="22" xfId="0" applyNumberFormat="1" applyFont="1" applyBorder="1" applyAlignment="1">
      <alignment horizontal="center"/>
    </xf>
    <xf numFmtId="183" fontId="2" fillId="0" borderId="35" xfId="0" applyNumberFormat="1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183" fontId="2" fillId="0" borderId="45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3" fontId="2" fillId="0" borderId="23" xfId="0" applyNumberFormat="1" applyFont="1" applyBorder="1" applyAlignment="1">
      <alignment horizontal="center"/>
    </xf>
    <xf numFmtId="183" fontId="2" fillId="0" borderId="38" xfId="0" applyNumberFormat="1" applyFont="1" applyBorder="1" applyAlignment="1">
      <alignment horizontal="center"/>
    </xf>
    <xf numFmtId="183" fontId="2" fillId="0" borderId="25" xfId="0" applyNumberFormat="1" applyFont="1" applyBorder="1" applyAlignment="1">
      <alignment horizontal="center"/>
    </xf>
    <xf numFmtId="183" fontId="2" fillId="0" borderId="4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85" fontId="2" fillId="0" borderId="5" xfId="0" applyNumberFormat="1" applyFont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181" fontId="2" fillId="0" borderId="5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84" fontId="2" fillId="0" borderId="0" xfId="0" applyNumberFormat="1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5" fontId="5" fillId="0" borderId="19" xfId="0" applyNumberFormat="1" applyFont="1" applyBorder="1" applyAlignment="1">
      <alignment horizontal="center" vertical="center"/>
    </xf>
    <xf numFmtId="185" fontId="5" fillId="0" borderId="29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37" xfId="0" applyNumberFormat="1" applyFont="1" applyBorder="1" applyAlignment="1">
      <alignment horizontal="center" vertical="center"/>
    </xf>
    <xf numFmtId="183" fontId="2" fillId="0" borderId="9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4.emf" /><Relationship Id="rId3" Type="http://schemas.openxmlformats.org/officeDocument/2006/relationships/image" Target="../media/image13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71550" y="1571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971550" y="21431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28575</xdr:rowOff>
    </xdr:from>
    <xdr:to>
      <xdr:col>8</xdr:col>
      <xdr:colOff>257175</xdr:colOff>
      <xdr:row>14</xdr:row>
      <xdr:rowOff>114300</xdr:rowOff>
    </xdr:to>
    <xdr:sp>
      <xdr:nvSpPr>
        <xdr:cNvPr id="3" name="Arc 4"/>
        <xdr:cNvSpPr>
          <a:spLocks/>
        </xdr:cNvSpPr>
      </xdr:nvSpPr>
      <xdr:spPr>
        <a:xfrm>
          <a:off x="2590800" y="1600200"/>
          <a:ext cx="257175" cy="51435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285750</xdr:colOff>
      <xdr:row>15</xdr:row>
      <xdr:rowOff>0</xdr:rowOff>
    </xdr:to>
    <xdr:sp>
      <xdr:nvSpPr>
        <xdr:cNvPr id="4" name="Arc 6"/>
        <xdr:cNvSpPr>
          <a:spLocks/>
        </xdr:cNvSpPr>
      </xdr:nvSpPr>
      <xdr:spPr>
        <a:xfrm>
          <a:off x="2590800" y="1571625"/>
          <a:ext cx="285750" cy="57150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8</xdr:col>
      <xdr:colOff>314325</xdr:colOff>
      <xdr:row>15</xdr:row>
      <xdr:rowOff>28575</xdr:rowOff>
    </xdr:to>
    <xdr:sp>
      <xdr:nvSpPr>
        <xdr:cNvPr id="5" name="Arc 7"/>
        <xdr:cNvSpPr>
          <a:spLocks/>
        </xdr:cNvSpPr>
      </xdr:nvSpPr>
      <xdr:spPr>
        <a:xfrm>
          <a:off x="2590800" y="1543050"/>
          <a:ext cx="314325" cy="62865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71550" y="1543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8</xdr:col>
      <xdr:colOff>9525</xdr:colOff>
      <xdr:row>11</xdr:row>
      <xdr:rowOff>28575</xdr:rowOff>
    </xdr:to>
    <xdr:sp>
      <xdr:nvSpPr>
        <xdr:cNvPr id="7" name="Line 9"/>
        <xdr:cNvSpPr>
          <a:spLocks/>
        </xdr:cNvSpPr>
      </xdr:nvSpPr>
      <xdr:spPr>
        <a:xfrm flipH="1">
          <a:off x="971550" y="16002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971550" y="2114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28575</xdr:rowOff>
    </xdr:from>
    <xdr:to>
      <xdr:col>8</xdr:col>
      <xdr:colOff>0</xdr:colOff>
      <xdr:row>15</xdr:row>
      <xdr:rowOff>28575</xdr:rowOff>
    </xdr:to>
    <xdr:sp>
      <xdr:nvSpPr>
        <xdr:cNvPr id="9" name="Line 11"/>
        <xdr:cNvSpPr>
          <a:spLocks/>
        </xdr:cNvSpPr>
      </xdr:nvSpPr>
      <xdr:spPr>
        <a:xfrm flipH="1">
          <a:off x="971550" y="2171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8</xdr:col>
      <xdr:colOff>0</xdr:colOff>
      <xdr:row>15</xdr:row>
      <xdr:rowOff>57150</xdr:rowOff>
    </xdr:to>
    <xdr:sp>
      <xdr:nvSpPr>
        <xdr:cNvPr id="10" name="Line 13"/>
        <xdr:cNvSpPr>
          <a:spLocks/>
        </xdr:cNvSpPr>
      </xdr:nvSpPr>
      <xdr:spPr>
        <a:xfrm>
          <a:off x="2590800" y="15144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3</xdr:col>
      <xdr:colOff>0</xdr:colOff>
      <xdr:row>11</xdr:row>
      <xdr:rowOff>28575</xdr:rowOff>
    </xdr:to>
    <xdr:sp>
      <xdr:nvSpPr>
        <xdr:cNvPr id="11" name="Line 15"/>
        <xdr:cNvSpPr>
          <a:spLocks/>
        </xdr:cNvSpPr>
      </xdr:nvSpPr>
      <xdr:spPr>
        <a:xfrm>
          <a:off x="971550" y="1543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114300</xdr:rowOff>
    </xdr:from>
    <xdr:to>
      <xdr:col>3</xdr:col>
      <xdr:colOff>0</xdr:colOff>
      <xdr:row>15</xdr:row>
      <xdr:rowOff>28575</xdr:rowOff>
    </xdr:to>
    <xdr:sp>
      <xdr:nvSpPr>
        <xdr:cNvPr id="12" name="Line 16"/>
        <xdr:cNvSpPr>
          <a:spLocks/>
        </xdr:cNvSpPr>
      </xdr:nvSpPr>
      <xdr:spPr>
        <a:xfrm>
          <a:off x="971550" y="2114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133350</xdr:colOff>
      <xdr:row>15</xdr:row>
      <xdr:rowOff>85725</xdr:rowOff>
    </xdr:to>
    <xdr:sp>
      <xdr:nvSpPr>
        <xdr:cNvPr id="13" name="Rectangle 17"/>
        <xdr:cNvSpPr>
          <a:spLocks/>
        </xdr:cNvSpPr>
      </xdr:nvSpPr>
      <xdr:spPr>
        <a:xfrm>
          <a:off x="1000125" y="2171700"/>
          <a:ext cx="104775" cy="57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28575</xdr:rowOff>
    </xdr:from>
    <xdr:to>
      <xdr:col>3</xdr:col>
      <xdr:colOff>133350</xdr:colOff>
      <xdr:row>14</xdr:row>
      <xdr:rowOff>114300</xdr:rowOff>
    </xdr:to>
    <xdr:sp>
      <xdr:nvSpPr>
        <xdr:cNvPr id="14" name="Rectangle 27"/>
        <xdr:cNvSpPr>
          <a:spLocks/>
        </xdr:cNvSpPr>
      </xdr:nvSpPr>
      <xdr:spPr>
        <a:xfrm>
          <a:off x="1000125" y="1600200"/>
          <a:ext cx="104775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57150</xdr:rowOff>
    </xdr:from>
    <xdr:to>
      <xdr:col>3</xdr:col>
      <xdr:colOff>133350</xdr:colOff>
      <xdr:row>10</xdr:row>
      <xdr:rowOff>114300</xdr:rowOff>
    </xdr:to>
    <xdr:sp>
      <xdr:nvSpPr>
        <xdr:cNvPr id="15" name="Rectangle 28"/>
        <xdr:cNvSpPr>
          <a:spLocks/>
        </xdr:cNvSpPr>
      </xdr:nvSpPr>
      <xdr:spPr>
        <a:xfrm>
          <a:off x="1000125" y="1485900"/>
          <a:ext cx="104775" cy="57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314325</xdr:colOff>
      <xdr:row>13</xdr:row>
      <xdr:rowOff>0</xdr:rowOff>
    </xdr:from>
    <xdr:to>
      <xdr:col>9</xdr:col>
      <xdr:colOff>28575</xdr:colOff>
      <xdr:row>13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962025" y="18573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0</xdr:rowOff>
    </xdr:from>
    <xdr:to>
      <xdr:col>3</xdr:col>
      <xdr:colOff>28575</xdr:colOff>
      <xdr:row>17</xdr:row>
      <xdr:rowOff>38100</xdr:rowOff>
    </xdr:to>
    <xdr:sp>
      <xdr:nvSpPr>
        <xdr:cNvPr id="17" name="Line 30"/>
        <xdr:cNvSpPr>
          <a:spLocks/>
        </xdr:cNvSpPr>
      </xdr:nvSpPr>
      <xdr:spPr>
        <a:xfrm>
          <a:off x="1000125" y="2286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0</xdr:rowOff>
    </xdr:from>
    <xdr:to>
      <xdr:col>3</xdr:col>
      <xdr:colOff>133350</xdr:colOff>
      <xdr:row>17</xdr:row>
      <xdr:rowOff>28575</xdr:rowOff>
    </xdr:to>
    <xdr:sp>
      <xdr:nvSpPr>
        <xdr:cNvPr id="18" name="Line 31"/>
        <xdr:cNvSpPr>
          <a:spLocks/>
        </xdr:cNvSpPr>
      </xdr:nvSpPr>
      <xdr:spPr>
        <a:xfrm>
          <a:off x="1104900" y="2286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95250</xdr:rowOff>
    </xdr:from>
    <xdr:to>
      <xdr:col>8</xdr:col>
      <xdr:colOff>0</xdr:colOff>
      <xdr:row>18</xdr:row>
      <xdr:rowOff>28575</xdr:rowOff>
    </xdr:to>
    <xdr:sp>
      <xdr:nvSpPr>
        <xdr:cNvPr id="19" name="Line 32"/>
        <xdr:cNvSpPr>
          <a:spLocks/>
        </xdr:cNvSpPr>
      </xdr:nvSpPr>
      <xdr:spPr>
        <a:xfrm>
          <a:off x="2590800" y="2238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66675</xdr:rowOff>
    </xdr:from>
    <xdr:to>
      <xdr:col>3</xdr:col>
      <xdr:colOff>0</xdr:colOff>
      <xdr:row>18</xdr:row>
      <xdr:rowOff>38100</xdr:rowOff>
    </xdr:to>
    <xdr:sp>
      <xdr:nvSpPr>
        <xdr:cNvPr id="20" name="Line 33"/>
        <xdr:cNvSpPr>
          <a:spLocks/>
        </xdr:cNvSpPr>
      </xdr:nvSpPr>
      <xdr:spPr>
        <a:xfrm>
          <a:off x="971550" y="22098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1104900" y="2000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133350</xdr:colOff>
      <xdr:row>17</xdr:row>
      <xdr:rowOff>0</xdr:rowOff>
    </xdr:to>
    <xdr:sp>
      <xdr:nvSpPr>
        <xdr:cNvPr id="22" name="Line 35"/>
        <xdr:cNvSpPr>
          <a:spLocks/>
        </xdr:cNvSpPr>
      </xdr:nvSpPr>
      <xdr:spPr>
        <a:xfrm>
          <a:off x="990600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23" name="Line 37"/>
        <xdr:cNvSpPr>
          <a:spLocks/>
        </xdr:cNvSpPr>
      </xdr:nvSpPr>
      <xdr:spPr>
        <a:xfrm>
          <a:off x="695325" y="242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8</xdr:col>
      <xdr:colOff>190500</xdr:colOff>
      <xdr:row>13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2590800" y="1647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5" name="Line 40"/>
        <xdr:cNvSpPr>
          <a:spLocks/>
        </xdr:cNvSpPr>
      </xdr:nvSpPr>
      <xdr:spPr>
        <a:xfrm flipH="1">
          <a:off x="1095375" y="2428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Line 41"/>
        <xdr:cNvSpPr>
          <a:spLocks/>
        </xdr:cNvSpPr>
      </xdr:nvSpPr>
      <xdr:spPr>
        <a:xfrm>
          <a:off x="971550" y="2571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16</xdr:col>
      <xdr:colOff>0</xdr:colOff>
      <xdr:row>12</xdr:row>
      <xdr:rowOff>9525</xdr:rowOff>
    </xdr:to>
    <xdr:pic>
      <xdr:nvPicPr>
        <xdr:cNvPr id="27" name="ComboBox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12</xdr:row>
      <xdr:rowOff>0</xdr:rowOff>
    </xdr:from>
    <xdr:to>
      <xdr:col>17</xdr:col>
      <xdr:colOff>0</xdr:colOff>
      <xdr:row>13</xdr:row>
      <xdr:rowOff>9525</xdr:rowOff>
    </xdr:to>
    <xdr:pic>
      <xdr:nvPicPr>
        <xdr:cNvPr id="28" name="ComboBox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161925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29" name="ComboBox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2000250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15</xdr:row>
      <xdr:rowOff>0</xdr:rowOff>
    </xdr:from>
    <xdr:to>
      <xdr:col>17</xdr:col>
      <xdr:colOff>0</xdr:colOff>
      <xdr:row>16</xdr:row>
      <xdr:rowOff>19050</xdr:rowOff>
    </xdr:to>
    <xdr:pic>
      <xdr:nvPicPr>
        <xdr:cNvPr id="30" name="ComboBox3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2143125"/>
          <a:ext cx="971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16</xdr:row>
      <xdr:rowOff>0</xdr:rowOff>
    </xdr:from>
    <xdr:to>
      <xdr:col>20</xdr:col>
      <xdr:colOff>0</xdr:colOff>
      <xdr:row>17</xdr:row>
      <xdr:rowOff>9525</xdr:rowOff>
    </xdr:to>
    <xdr:pic>
      <xdr:nvPicPr>
        <xdr:cNvPr id="31" name="Combo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16</xdr:row>
      <xdr:rowOff>0</xdr:rowOff>
    </xdr:from>
    <xdr:to>
      <xdr:col>22</xdr:col>
      <xdr:colOff>0</xdr:colOff>
      <xdr:row>17</xdr:row>
      <xdr:rowOff>9525</xdr:rowOff>
    </xdr:to>
    <xdr:pic>
      <xdr:nvPicPr>
        <xdr:cNvPr id="32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19</xdr:row>
      <xdr:rowOff>0</xdr:rowOff>
    </xdr:from>
    <xdr:to>
      <xdr:col>20</xdr:col>
      <xdr:colOff>0</xdr:colOff>
      <xdr:row>20</xdr:row>
      <xdr:rowOff>9525</xdr:rowOff>
    </xdr:to>
    <xdr:pic>
      <xdr:nvPicPr>
        <xdr:cNvPr id="33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0</xdr:colOff>
      <xdr:row>6</xdr:row>
      <xdr:rowOff>57150</xdr:rowOff>
    </xdr:from>
    <xdr:to>
      <xdr:col>35</xdr:col>
      <xdr:colOff>0</xdr:colOff>
      <xdr:row>16</xdr:row>
      <xdr:rowOff>0</xdr:rowOff>
    </xdr:to>
    <xdr:sp>
      <xdr:nvSpPr>
        <xdr:cNvPr id="34" name="Line 161"/>
        <xdr:cNvSpPr>
          <a:spLocks/>
        </xdr:cNvSpPr>
      </xdr:nvSpPr>
      <xdr:spPr>
        <a:xfrm>
          <a:off x="11334750" y="914400"/>
          <a:ext cx="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276225</xdr:colOff>
      <xdr:row>16</xdr:row>
      <xdr:rowOff>0</xdr:rowOff>
    </xdr:from>
    <xdr:to>
      <xdr:col>39</xdr:col>
      <xdr:colOff>47625</xdr:colOff>
      <xdr:row>16</xdr:row>
      <xdr:rowOff>0</xdr:rowOff>
    </xdr:to>
    <xdr:sp>
      <xdr:nvSpPr>
        <xdr:cNvPr id="35" name="Line 162"/>
        <xdr:cNvSpPr>
          <a:spLocks/>
        </xdr:cNvSpPr>
      </xdr:nvSpPr>
      <xdr:spPr>
        <a:xfrm flipV="1">
          <a:off x="9667875" y="22860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104775</xdr:colOff>
      <xdr:row>7</xdr:row>
      <xdr:rowOff>0</xdr:rowOff>
    </xdr:from>
    <xdr:to>
      <xdr:col>39</xdr:col>
      <xdr:colOff>0</xdr:colOff>
      <xdr:row>15</xdr:row>
      <xdr:rowOff>133350</xdr:rowOff>
    </xdr:to>
    <xdr:sp>
      <xdr:nvSpPr>
        <xdr:cNvPr id="36" name="Arc 163"/>
        <xdr:cNvSpPr>
          <a:spLocks/>
        </xdr:cNvSpPr>
      </xdr:nvSpPr>
      <xdr:spPr>
        <a:xfrm>
          <a:off x="10791825" y="1000125"/>
          <a:ext cx="1838325" cy="1276350"/>
        </a:xfrm>
        <a:prstGeom prst="arc">
          <a:avLst>
            <a:gd name="adj1" fmla="val -34959513"/>
            <a:gd name="adj2" fmla="val -7648"/>
          </a:avLst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13</xdr:row>
      <xdr:rowOff>57150</xdr:rowOff>
    </xdr:from>
    <xdr:to>
      <xdr:col>36</xdr:col>
      <xdr:colOff>95250</xdr:colOff>
      <xdr:row>14</xdr:row>
      <xdr:rowOff>95250</xdr:rowOff>
    </xdr:to>
    <xdr:sp>
      <xdr:nvSpPr>
        <xdr:cNvPr id="37" name="Oval 164"/>
        <xdr:cNvSpPr>
          <a:spLocks/>
        </xdr:cNvSpPr>
      </xdr:nvSpPr>
      <xdr:spPr>
        <a:xfrm>
          <a:off x="11572875" y="19145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28575</xdr:rowOff>
    </xdr:from>
    <xdr:to>
      <xdr:col>36</xdr:col>
      <xdr:colOff>0</xdr:colOff>
      <xdr:row>14</xdr:row>
      <xdr:rowOff>114300</xdr:rowOff>
    </xdr:to>
    <xdr:sp>
      <xdr:nvSpPr>
        <xdr:cNvPr id="38" name="Line 165"/>
        <xdr:cNvSpPr>
          <a:spLocks/>
        </xdr:cNvSpPr>
      </xdr:nvSpPr>
      <xdr:spPr>
        <a:xfrm>
          <a:off x="1165860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14</xdr:row>
      <xdr:rowOff>0</xdr:rowOff>
    </xdr:from>
    <xdr:to>
      <xdr:col>36</xdr:col>
      <xdr:colOff>114300</xdr:colOff>
      <xdr:row>14</xdr:row>
      <xdr:rowOff>0</xdr:rowOff>
    </xdr:to>
    <xdr:sp>
      <xdr:nvSpPr>
        <xdr:cNvPr id="39" name="Line 166"/>
        <xdr:cNvSpPr>
          <a:spLocks/>
        </xdr:cNvSpPr>
      </xdr:nvSpPr>
      <xdr:spPr>
        <a:xfrm flipH="1">
          <a:off x="11544300" y="2000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8</xdr:row>
      <xdr:rowOff>57150</xdr:rowOff>
    </xdr:from>
    <xdr:to>
      <xdr:col>36</xdr:col>
      <xdr:colOff>95250</xdr:colOff>
      <xdr:row>9</xdr:row>
      <xdr:rowOff>95250</xdr:rowOff>
    </xdr:to>
    <xdr:sp>
      <xdr:nvSpPr>
        <xdr:cNvPr id="40" name="Oval 167"/>
        <xdr:cNvSpPr>
          <a:spLocks/>
        </xdr:cNvSpPr>
      </xdr:nvSpPr>
      <xdr:spPr>
        <a:xfrm>
          <a:off x="11572875" y="120015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28575</xdr:rowOff>
    </xdr:from>
    <xdr:to>
      <xdr:col>36</xdr:col>
      <xdr:colOff>0</xdr:colOff>
      <xdr:row>9</xdr:row>
      <xdr:rowOff>114300</xdr:rowOff>
    </xdr:to>
    <xdr:sp>
      <xdr:nvSpPr>
        <xdr:cNvPr id="41" name="Line 168"/>
        <xdr:cNvSpPr>
          <a:spLocks/>
        </xdr:cNvSpPr>
      </xdr:nvSpPr>
      <xdr:spPr>
        <a:xfrm>
          <a:off x="11658600" y="1171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9</xdr:row>
      <xdr:rowOff>0</xdr:rowOff>
    </xdr:from>
    <xdr:to>
      <xdr:col>36</xdr:col>
      <xdr:colOff>114300</xdr:colOff>
      <xdr:row>9</xdr:row>
      <xdr:rowOff>0</xdr:rowOff>
    </xdr:to>
    <xdr:sp>
      <xdr:nvSpPr>
        <xdr:cNvPr id="42" name="Line 169"/>
        <xdr:cNvSpPr>
          <a:spLocks/>
        </xdr:cNvSpPr>
      </xdr:nvSpPr>
      <xdr:spPr>
        <a:xfrm flipH="1">
          <a:off x="11544300" y="1285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43" name="Rectangle 170"/>
        <xdr:cNvSpPr>
          <a:spLocks/>
        </xdr:cNvSpPr>
      </xdr:nvSpPr>
      <xdr:spPr>
        <a:xfrm>
          <a:off x="10687050" y="8572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OTL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16</xdr:row>
      <xdr:rowOff>0</xdr:rowOff>
    </xdr:to>
    <xdr:sp>
      <xdr:nvSpPr>
        <xdr:cNvPr id="44" name="Line 173"/>
        <xdr:cNvSpPr>
          <a:spLocks/>
        </xdr:cNvSpPr>
      </xdr:nvSpPr>
      <xdr:spPr>
        <a:xfrm flipV="1">
          <a:off x="11658600" y="2000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45" name="Line 174"/>
        <xdr:cNvSpPr>
          <a:spLocks/>
        </xdr:cNvSpPr>
      </xdr:nvSpPr>
      <xdr:spPr>
        <a:xfrm>
          <a:off x="11334750" y="2000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10</xdr:row>
      <xdr:rowOff>57150</xdr:rowOff>
    </xdr:from>
    <xdr:to>
      <xdr:col>36</xdr:col>
      <xdr:colOff>95250</xdr:colOff>
      <xdr:row>11</xdr:row>
      <xdr:rowOff>95250</xdr:rowOff>
    </xdr:to>
    <xdr:sp>
      <xdr:nvSpPr>
        <xdr:cNvPr id="46" name="Oval 175"/>
        <xdr:cNvSpPr>
          <a:spLocks/>
        </xdr:cNvSpPr>
      </xdr:nvSpPr>
      <xdr:spPr>
        <a:xfrm>
          <a:off x="11572875" y="14859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10</xdr:row>
      <xdr:rowOff>28575</xdr:rowOff>
    </xdr:from>
    <xdr:to>
      <xdr:col>36</xdr:col>
      <xdr:colOff>0</xdr:colOff>
      <xdr:row>11</xdr:row>
      <xdr:rowOff>114300</xdr:rowOff>
    </xdr:to>
    <xdr:sp>
      <xdr:nvSpPr>
        <xdr:cNvPr id="47" name="Line 176"/>
        <xdr:cNvSpPr>
          <a:spLocks/>
        </xdr:cNvSpPr>
      </xdr:nvSpPr>
      <xdr:spPr>
        <a:xfrm>
          <a:off x="11658600" y="1457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36</xdr:col>
      <xdr:colOff>114300</xdr:colOff>
      <xdr:row>11</xdr:row>
      <xdr:rowOff>0</xdr:rowOff>
    </xdr:to>
    <xdr:sp>
      <xdr:nvSpPr>
        <xdr:cNvPr id="48" name="Line 177"/>
        <xdr:cNvSpPr>
          <a:spLocks/>
        </xdr:cNvSpPr>
      </xdr:nvSpPr>
      <xdr:spPr>
        <a:xfrm flipH="1">
          <a:off x="11544300" y="1571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57150</xdr:rowOff>
    </xdr:from>
    <xdr:to>
      <xdr:col>34</xdr:col>
      <xdr:colOff>0</xdr:colOff>
      <xdr:row>17</xdr:row>
      <xdr:rowOff>0</xdr:rowOff>
    </xdr:to>
    <xdr:sp>
      <xdr:nvSpPr>
        <xdr:cNvPr id="49" name="Line 178"/>
        <xdr:cNvSpPr>
          <a:spLocks/>
        </xdr:cNvSpPr>
      </xdr:nvSpPr>
      <xdr:spPr>
        <a:xfrm>
          <a:off x="11010900" y="148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17</xdr:row>
      <xdr:rowOff>0</xdr:rowOff>
    </xdr:to>
    <xdr:sp>
      <xdr:nvSpPr>
        <xdr:cNvPr id="50" name="Line 179"/>
        <xdr:cNvSpPr>
          <a:spLocks/>
        </xdr:cNvSpPr>
      </xdr:nvSpPr>
      <xdr:spPr>
        <a:xfrm flipH="1" flipV="1">
          <a:off x="10039350" y="11906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8</xdr:row>
      <xdr:rowOff>57150</xdr:rowOff>
    </xdr:from>
    <xdr:to>
      <xdr:col>35</xdr:col>
      <xdr:colOff>228600</xdr:colOff>
      <xdr:row>8</xdr:row>
      <xdr:rowOff>57150</xdr:rowOff>
    </xdr:to>
    <xdr:sp>
      <xdr:nvSpPr>
        <xdr:cNvPr id="51" name="Line 180"/>
        <xdr:cNvSpPr>
          <a:spLocks/>
        </xdr:cNvSpPr>
      </xdr:nvSpPr>
      <xdr:spPr>
        <a:xfrm flipH="1">
          <a:off x="9991725" y="1200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285750</xdr:colOff>
      <xdr:row>10</xdr:row>
      <xdr:rowOff>57150</xdr:rowOff>
    </xdr:from>
    <xdr:to>
      <xdr:col>35</xdr:col>
      <xdr:colOff>228600</xdr:colOff>
      <xdr:row>10</xdr:row>
      <xdr:rowOff>57150</xdr:rowOff>
    </xdr:to>
    <xdr:sp>
      <xdr:nvSpPr>
        <xdr:cNvPr id="52" name="Line 181"/>
        <xdr:cNvSpPr>
          <a:spLocks/>
        </xdr:cNvSpPr>
      </xdr:nvSpPr>
      <xdr:spPr>
        <a:xfrm flipH="1">
          <a:off x="10648950" y="1485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190500</xdr:colOff>
      <xdr:row>14</xdr:row>
      <xdr:rowOff>0</xdr:rowOff>
    </xdr:from>
    <xdr:to>
      <xdr:col>38</xdr:col>
      <xdr:colOff>0</xdr:colOff>
      <xdr:row>14</xdr:row>
      <xdr:rowOff>0</xdr:rowOff>
    </xdr:to>
    <xdr:sp>
      <xdr:nvSpPr>
        <xdr:cNvPr id="53" name="Line 184"/>
        <xdr:cNvSpPr>
          <a:spLocks/>
        </xdr:cNvSpPr>
      </xdr:nvSpPr>
      <xdr:spPr>
        <a:xfrm>
          <a:off x="11849100" y="2000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12</xdr:row>
      <xdr:rowOff>123825</xdr:rowOff>
    </xdr:to>
    <xdr:sp>
      <xdr:nvSpPr>
        <xdr:cNvPr id="54" name="Line 185"/>
        <xdr:cNvSpPr>
          <a:spLocks/>
        </xdr:cNvSpPr>
      </xdr:nvSpPr>
      <xdr:spPr>
        <a:xfrm flipV="1">
          <a:off x="11658600" y="1714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57150</xdr:rowOff>
    </xdr:from>
    <xdr:to>
      <xdr:col>33</xdr:col>
      <xdr:colOff>0</xdr:colOff>
      <xdr:row>17</xdr:row>
      <xdr:rowOff>0</xdr:rowOff>
    </xdr:to>
    <xdr:sp>
      <xdr:nvSpPr>
        <xdr:cNvPr id="55" name="Line 186"/>
        <xdr:cNvSpPr>
          <a:spLocks/>
        </xdr:cNvSpPr>
      </xdr:nvSpPr>
      <xdr:spPr>
        <a:xfrm flipV="1">
          <a:off x="10687050" y="148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31</xdr:col>
      <xdr:colOff>0</xdr:colOff>
      <xdr:row>9</xdr:row>
      <xdr:rowOff>0</xdr:rowOff>
    </xdr:to>
    <xdr:sp>
      <xdr:nvSpPr>
        <xdr:cNvPr id="56" name="Rectangle 187"/>
        <xdr:cNvSpPr>
          <a:spLocks/>
        </xdr:cNvSpPr>
      </xdr:nvSpPr>
      <xdr:spPr>
        <a:xfrm>
          <a:off x="9391650" y="114300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Top Tube</a:t>
          </a:r>
        </a:p>
      </xdr:txBody>
    </xdr:sp>
    <xdr:clientData/>
  </xdr:twoCellAnchor>
  <xdr:twoCellAnchor>
    <xdr:from>
      <xdr:col>34</xdr:col>
      <xdr:colOff>85725</xdr:colOff>
      <xdr:row>14</xdr:row>
      <xdr:rowOff>76200</xdr:rowOff>
    </xdr:from>
    <xdr:to>
      <xdr:col>36</xdr:col>
      <xdr:colOff>0</xdr:colOff>
      <xdr:row>15</xdr:row>
      <xdr:rowOff>76200</xdr:rowOff>
    </xdr:to>
    <xdr:sp>
      <xdr:nvSpPr>
        <xdr:cNvPr id="57" name="Rectangle 188"/>
        <xdr:cNvSpPr>
          <a:spLocks/>
        </xdr:cNvSpPr>
      </xdr:nvSpPr>
      <xdr:spPr>
        <a:xfrm>
          <a:off x="11096625" y="20764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1st Tube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71550" y="1571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21431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28575</xdr:rowOff>
    </xdr:from>
    <xdr:to>
      <xdr:col>8</xdr:col>
      <xdr:colOff>257175</xdr:colOff>
      <xdr:row>14</xdr:row>
      <xdr:rowOff>114300</xdr:rowOff>
    </xdr:to>
    <xdr:sp>
      <xdr:nvSpPr>
        <xdr:cNvPr id="3" name="Arc 3"/>
        <xdr:cNvSpPr>
          <a:spLocks/>
        </xdr:cNvSpPr>
      </xdr:nvSpPr>
      <xdr:spPr>
        <a:xfrm>
          <a:off x="2590800" y="1600200"/>
          <a:ext cx="257175" cy="51435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285750</xdr:colOff>
      <xdr:row>15</xdr:row>
      <xdr:rowOff>0</xdr:rowOff>
    </xdr:to>
    <xdr:sp>
      <xdr:nvSpPr>
        <xdr:cNvPr id="4" name="Arc 4"/>
        <xdr:cNvSpPr>
          <a:spLocks/>
        </xdr:cNvSpPr>
      </xdr:nvSpPr>
      <xdr:spPr>
        <a:xfrm>
          <a:off x="2590800" y="1571625"/>
          <a:ext cx="285750" cy="57150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8</xdr:col>
      <xdr:colOff>314325</xdr:colOff>
      <xdr:row>15</xdr:row>
      <xdr:rowOff>28575</xdr:rowOff>
    </xdr:to>
    <xdr:sp>
      <xdr:nvSpPr>
        <xdr:cNvPr id="5" name="Arc 5"/>
        <xdr:cNvSpPr>
          <a:spLocks/>
        </xdr:cNvSpPr>
      </xdr:nvSpPr>
      <xdr:spPr>
        <a:xfrm>
          <a:off x="2590800" y="1543050"/>
          <a:ext cx="314325" cy="628650"/>
        </a:xfrm>
        <a:prstGeom prst="arc">
          <a:avLst>
            <a:gd name="adj1" fmla="val 27739537"/>
            <a:gd name="adj2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971550" y="1543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8</xdr:col>
      <xdr:colOff>9525</xdr:colOff>
      <xdr:row>11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971550" y="16002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71550" y="2114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28575</xdr:rowOff>
    </xdr:from>
    <xdr:to>
      <xdr:col>8</xdr:col>
      <xdr:colOff>0</xdr:colOff>
      <xdr:row>15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971550" y="2171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8</xdr:col>
      <xdr:colOff>0</xdr:colOff>
      <xdr:row>15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590800" y="15144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3</xdr:col>
      <xdr:colOff>0</xdr:colOff>
      <xdr:row>11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971550" y="1543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114300</xdr:rowOff>
    </xdr:from>
    <xdr:to>
      <xdr:col>3</xdr:col>
      <xdr:colOff>0</xdr:colOff>
      <xdr:row>15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71550" y="2114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133350</xdr:colOff>
      <xdr:row>15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1000125" y="2171700"/>
          <a:ext cx="104775" cy="57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28575</xdr:rowOff>
    </xdr:from>
    <xdr:to>
      <xdr:col>3</xdr:col>
      <xdr:colOff>133350</xdr:colOff>
      <xdr:row>14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1000125" y="1600200"/>
          <a:ext cx="104775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57150</xdr:rowOff>
    </xdr:from>
    <xdr:to>
      <xdr:col>3</xdr:col>
      <xdr:colOff>133350</xdr:colOff>
      <xdr:row>10</xdr:row>
      <xdr:rowOff>114300</xdr:rowOff>
    </xdr:to>
    <xdr:sp>
      <xdr:nvSpPr>
        <xdr:cNvPr id="15" name="Rectangle 15"/>
        <xdr:cNvSpPr>
          <a:spLocks/>
        </xdr:cNvSpPr>
      </xdr:nvSpPr>
      <xdr:spPr>
        <a:xfrm>
          <a:off x="1000125" y="1485900"/>
          <a:ext cx="104775" cy="57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314325</xdr:colOff>
      <xdr:row>13</xdr:row>
      <xdr:rowOff>0</xdr:rowOff>
    </xdr:from>
    <xdr:to>
      <xdr:col>9</xdr:col>
      <xdr:colOff>28575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62025" y="18573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0</xdr:rowOff>
    </xdr:from>
    <xdr:to>
      <xdr:col>3</xdr:col>
      <xdr:colOff>28575</xdr:colOff>
      <xdr:row>17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1000125" y="2286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0</xdr:rowOff>
    </xdr:from>
    <xdr:to>
      <xdr:col>3</xdr:col>
      <xdr:colOff>133350</xdr:colOff>
      <xdr:row>17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1104900" y="2286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95250</xdr:rowOff>
    </xdr:from>
    <xdr:to>
      <xdr:col>8</xdr:col>
      <xdr:colOff>0</xdr:colOff>
      <xdr:row>18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2590800" y="2238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66675</xdr:rowOff>
    </xdr:from>
    <xdr:to>
      <xdr:col>3</xdr:col>
      <xdr:colOff>0</xdr:colOff>
      <xdr:row>18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971550" y="22098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104900" y="2000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133350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990600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695325" y="242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8</xdr:col>
      <xdr:colOff>190500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590800" y="1647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095375" y="2428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971550" y="2571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16</xdr:col>
      <xdr:colOff>0</xdr:colOff>
      <xdr:row>12</xdr:row>
      <xdr:rowOff>9525</xdr:rowOff>
    </xdr:to>
    <xdr:pic>
      <xdr:nvPicPr>
        <xdr:cNvPr id="27" name="ComboBox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12</xdr:row>
      <xdr:rowOff>0</xdr:rowOff>
    </xdr:from>
    <xdr:to>
      <xdr:col>17</xdr:col>
      <xdr:colOff>0</xdr:colOff>
      <xdr:row>13</xdr:row>
      <xdr:rowOff>9525</xdr:rowOff>
    </xdr:to>
    <xdr:pic>
      <xdr:nvPicPr>
        <xdr:cNvPr id="28" name="ComboBox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714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161925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29" name="ComboBox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2000250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15</xdr:row>
      <xdr:rowOff>0</xdr:rowOff>
    </xdr:from>
    <xdr:to>
      <xdr:col>17</xdr:col>
      <xdr:colOff>0</xdr:colOff>
      <xdr:row>16</xdr:row>
      <xdr:rowOff>19050</xdr:rowOff>
    </xdr:to>
    <xdr:pic>
      <xdr:nvPicPr>
        <xdr:cNvPr id="30" name="ComboBox3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2143125"/>
          <a:ext cx="971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16</xdr:row>
      <xdr:rowOff>0</xdr:rowOff>
    </xdr:from>
    <xdr:to>
      <xdr:col>20</xdr:col>
      <xdr:colOff>0</xdr:colOff>
      <xdr:row>17</xdr:row>
      <xdr:rowOff>9525</xdr:rowOff>
    </xdr:to>
    <xdr:pic>
      <xdr:nvPicPr>
        <xdr:cNvPr id="31" name="Combo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16</xdr:row>
      <xdr:rowOff>0</xdr:rowOff>
    </xdr:from>
    <xdr:to>
      <xdr:col>22</xdr:col>
      <xdr:colOff>0</xdr:colOff>
      <xdr:row>17</xdr:row>
      <xdr:rowOff>9525</xdr:rowOff>
    </xdr:to>
    <xdr:pic>
      <xdr:nvPicPr>
        <xdr:cNvPr id="32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19</xdr:row>
      <xdr:rowOff>0</xdr:rowOff>
    </xdr:from>
    <xdr:to>
      <xdr:col>20</xdr:col>
      <xdr:colOff>0</xdr:colOff>
      <xdr:row>20</xdr:row>
      <xdr:rowOff>9525</xdr:rowOff>
    </xdr:to>
    <xdr:pic>
      <xdr:nvPicPr>
        <xdr:cNvPr id="33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0</xdr:colOff>
      <xdr:row>6</xdr:row>
      <xdr:rowOff>57150</xdr:rowOff>
    </xdr:from>
    <xdr:to>
      <xdr:col>35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11334750" y="914400"/>
          <a:ext cx="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276225</xdr:colOff>
      <xdr:row>16</xdr:row>
      <xdr:rowOff>0</xdr:rowOff>
    </xdr:from>
    <xdr:to>
      <xdr:col>39</xdr:col>
      <xdr:colOff>47625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667875" y="22860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104775</xdr:colOff>
      <xdr:row>7</xdr:row>
      <xdr:rowOff>0</xdr:rowOff>
    </xdr:from>
    <xdr:to>
      <xdr:col>39</xdr:col>
      <xdr:colOff>0</xdr:colOff>
      <xdr:row>15</xdr:row>
      <xdr:rowOff>133350</xdr:rowOff>
    </xdr:to>
    <xdr:sp>
      <xdr:nvSpPr>
        <xdr:cNvPr id="36" name="Arc 36"/>
        <xdr:cNvSpPr>
          <a:spLocks/>
        </xdr:cNvSpPr>
      </xdr:nvSpPr>
      <xdr:spPr>
        <a:xfrm>
          <a:off x="10791825" y="1000125"/>
          <a:ext cx="1838325" cy="1276350"/>
        </a:xfrm>
        <a:prstGeom prst="arc">
          <a:avLst>
            <a:gd name="adj1" fmla="val -34959513"/>
            <a:gd name="adj2" fmla="val -7648"/>
          </a:avLst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13</xdr:row>
      <xdr:rowOff>57150</xdr:rowOff>
    </xdr:from>
    <xdr:to>
      <xdr:col>36</xdr:col>
      <xdr:colOff>95250</xdr:colOff>
      <xdr:row>14</xdr:row>
      <xdr:rowOff>95250</xdr:rowOff>
    </xdr:to>
    <xdr:sp>
      <xdr:nvSpPr>
        <xdr:cNvPr id="37" name="Oval 37"/>
        <xdr:cNvSpPr>
          <a:spLocks/>
        </xdr:cNvSpPr>
      </xdr:nvSpPr>
      <xdr:spPr>
        <a:xfrm>
          <a:off x="11572875" y="19145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28575</xdr:rowOff>
    </xdr:from>
    <xdr:to>
      <xdr:col>36</xdr:col>
      <xdr:colOff>0</xdr:colOff>
      <xdr:row>14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165860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14</xdr:row>
      <xdr:rowOff>0</xdr:rowOff>
    </xdr:from>
    <xdr:to>
      <xdr:col>36</xdr:col>
      <xdr:colOff>114300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1544300" y="2000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8</xdr:row>
      <xdr:rowOff>57150</xdr:rowOff>
    </xdr:from>
    <xdr:to>
      <xdr:col>36</xdr:col>
      <xdr:colOff>95250</xdr:colOff>
      <xdr:row>9</xdr:row>
      <xdr:rowOff>95250</xdr:rowOff>
    </xdr:to>
    <xdr:sp>
      <xdr:nvSpPr>
        <xdr:cNvPr id="40" name="Oval 40"/>
        <xdr:cNvSpPr>
          <a:spLocks/>
        </xdr:cNvSpPr>
      </xdr:nvSpPr>
      <xdr:spPr>
        <a:xfrm>
          <a:off x="11572875" y="120015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28575</xdr:rowOff>
    </xdr:from>
    <xdr:to>
      <xdr:col>36</xdr:col>
      <xdr:colOff>0</xdr:colOff>
      <xdr:row>9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11658600" y="1171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9</xdr:row>
      <xdr:rowOff>0</xdr:rowOff>
    </xdr:from>
    <xdr:to>
      <xdr:col>36</xdr:col>
      <xdr:colOff>114300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1544300" y="1285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687050" y="85725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OTL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1658600" y="2000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45" name="Line 45"/>
        <xdr:cNvSpPr>
          <a:spLocks/>
        </xdr:cNvSpPr>
      </xdr:nvSpPr>
      <xdr:spPr>
        <a:xfrm>
          <a:off x="11334750" y="2000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238125</xdr:colOff>
      <xdr:row>10</xdr:row>
      <xdr:rowOff>57150</xdr:rowOff>
    </xdr:from>
    <xdr:to>
      <xdr:col>36</xdr:col>
      <xdr:colOff>95250</xdr:colOff>
      <xdr:row>11</xdr:row>
      <xdr:rowOff>95250</xdr:rowOff>
    </xdr:to>
    <xdr:sp>
      <xdr:nvSpPr>
        <xdr:cNvPr id="46" name="Oval 46"/>
        <xdr:cNvSpPr>
          <a:spLocks/>
        </xdr:cNvSpPr>
      </xdr:nvSpPr>
      <xdr:spPr>
        <a:xfrm>
          <a:off x="11572875" y="14859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10</xdr:row>
      <xdr:rowOff>28575</xdr:rowOff>
    </xdr:from>
    <xdr:to>
      <xdr:col>36</xdr:col>
      <xdr:colOff>0</xdr:colOff>
      <xdr:row>11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11658600" y="1457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36</xdr:col>
      <xdr:colOff>114300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1544300" y="1571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57150</xdr:rowOff>
    </xdr:from>
    <xdr:to>
      <xdr:col>34</xdr:col>
      <xdr:colOff>0</xdr:colOff>
      <xdr:row>17</xdr:row>
      <xdr:rowOff>0</xdr:rowOff>
    </xdr:to>
    <xdr:sp>
      <xdr:nvSpPr>
        <xdr:cNvPr id="49" name="Line 49"/>
        <xdr:cNvSpPr>
          <a:spLocks/>
        </xdr:cNvSpPr>
      </xdr:nvSpPr>
      <xdr:spPr>
        <a:xfrm>
          <a:off x="11010900" y="148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17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0039350" y="11906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8</xdr:row>
      <xdr:rowOff>57150</xdr:rowOff>
    </xdr:from>
    <xdr:to>
      <xdr:col>35</xdr:col>
      <xdr:colOff>228600</xdr:colOff>
      <xdr:row>8</xdr:row>
      <xdr:rowOff>57150</xdr:rowOff>
    </xdr:to>
    <xdr:sp>
      <xdr:nvSpPr>
        <xdr:cNvPr id="51" name="Line 51"/>
        <xdr:cNvSpPr>
          <a:spLocks/>
        </xdr:cNvSpPr>
      </xdr:nvSpPr>
      <xdr:spPr>
        <a:xfrm flipH="1">
          <a:off x="9991725" y="1200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285750</xdr:colOff>
      <xdr:row>10</xdr:row>
      <xdr:rowOff>57150</xdr:rowOff>
    </xdr:from>
    <xdr:to>
      <xdr:col>35</xdr:col>
      <xdr:colOff>228600</xdr:colOff>
      <xdr:row>10</xdr:row>
      <xdr:rowOff>57150</xdr:rowOff>
    </xdr:to>
    <xdr:sp>
      <xdr:nvSpPr>
        <xdr:cNvPr id="52" name="Line 52"/>
        <xdr:cNvSpPr>
          <a:spLocks/>
        </xdr:cNvSpPr>
      </xdr:nvSpPr>
      <xdr:spPr>
        <a:xfrm flipH="1">
          <a:off x="10648950" y="1485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190500</xdr:colOff>
      <xdr:row>14</xdr:row>
      <xdr:rowOff>0</xdr:rowOff>
    </xdr:from>
    <xdr:to>
      <xdr:col>38</xdr:col>
      <xdr:colOff>0</xdr:colOff>
      <xdr:row>14</xdr:row>
      <xdr:rowOff>0</xdr:rowOff>
    </xdr:to>
    <xdr:sp>
      <xdr:nvSpPr>
        <xdr:cNvPr id="53" name="Line 53"/>
        <xdr:cNvSpPr>
          <a:spLocks/>
        </xdr:cNvSpPr>
      </xdr:nvSpPr>
      <xdr:spPr>
        <a:xfrm>
          <a:off x="11849100" y="2000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 flipV="1">
          <a:off x="11658600" y="1714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57150</xdr:rowOff>
    </xdr:from>
    <xdr:to>
      <xdr:col>33</xdr:col>
      <xdr:colOff>0</xdr:colOff>
      <xdr:row>17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0687050" y="148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31</xdr:col>
      <xdr:colOff>0</xdr:colOff>
      <xdr:row>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9391650" y="114300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Top Tube</a:t>
          </a:r>
        </a:p>
      </xdr:txBody>
    </xdr:sp>
    <xdr:clientData/>
  </xdr:twoCellAnchor>
  <xdr:twoCellAnchor>
    <xdr:from>
      <xdr:col>34</xdr:col>
      <xdr:colOff>85725</xdr:colOff>
      <xdr:row>14</xdr:row>
      <xdr:rowOff>76200</xdr:rowOff>
    </xdr:from>
    <xdr:to>
      <xdr:col>36</xdr:col>
      <xdr:colOff>0</xdr:colOff>
      <xdr:row>15</xdr:row>
      <xdr:rowOff>76200</xdr:rowOff>
    </xdr:to>
    <xdr:sp>
      <xdr:nvSpPr>
        <xdr:cNvPr id="57" name="Rectangle 57"/>
        <xdr:cNvSpPr>
          <a:spLocks/>
        </xdr:cNvSpPr>
      </xdr:nvSpPr>
      <xdr:spPr>
        <a:xfrm>
          <a:off x="11096625" y="20764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1st Tube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70"/>
  <sheetViews>
    <sheetView zoomScaleSheetLayoutView="100" workbookViewId="0" topLeftCell="A1">
      <selection activeCell="R9" sqref="R9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3" ht="11.25" customHeight="1">
      <c r="B1" s="229" t="s">
        <v>35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1"/>
    </row>
    <row r="2" spans="2:23" ht="11.25" customHeight="1"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spans="1:23" ht="11.25" customHeight="1">
      <c r="A3" s="3">
        <v>1</v>
      </c>
      <c r="B3" s="4" t="s">
        <v>3</v>
      </c>
      <c r="C3" s="5"/>
      <c r="D3" s="5"/>
      <c r="E3" s="50" t="s">
        <v>66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10</v>
      </c>
      <c r="S3" s="5"/>
      <c r="T3" s="198" t="s">
        <v>14</v>
      </c>
      <c r="U3" s="198"/>
      <c r="V3" s="198"/>
      <c r="W3" s="199"/>
    </row>
    <row r="4" spans="1:23" ht="11.25" customHeight="1">
      <c r="A4" s="3">
        <v>2</v>
      </c>
      <c r="B4" s="6" t="s">
        <v>4</v>
      </c>
      <c r="C4" s="7"/>
      <c r="D4" s="7"/>
      <c r="E4" s="51" t="s">
        <v>67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11</v>
      </c>
      <c r="S4" s="7"/>
      <c r="T4" s="200" t="s">
        <v>36</v>
      </c>
      <c r="U4" s="200"/>
      <c r="V4" s="200"/>
      <c r="W4" s="201"/>
    </row>
    <row r="5" spans="1:34" ht="11.25" customHeight="1">
      <c r="A5" s="3">
        <v>3</v>
      </c>
      <c r="B5" s="6" t="s">
        <v>5</v>
      </c>
      <c r="C5" s="7"/>
      <c r="D5" s="7"/>
      <c r="E5" s="51" t="s">
        <v>68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12</v>
      </c>
      <c r="S5" s="7"/>
      <c r="T5" s="202" t="s">
        <v>47</v>
      </c>
      <c r="U5" s="202"/>
      <c r="V5" s="202"/>
      <c r="W5" s="114"/>
      <c r="AH5" s="60"/>
    </row>
    <row r="6" spans="1:23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5" t="s">
        <v>13</v>
      </c>
      <c r="S6" s="25"/>
      <c r="T6" s="26">
        <v>0</v>
      </c>
      <c r="U6" s="27"/>
      <c r="V6" s="27"/>
      <c r="W6" s="28"/>
    </row>
    <row r="7" spans="1:23" ht="11.25" customHeight="1">
      <c r="A7" s="3">
        <v>5</v>
      </c>
      <c r="B7" s="10" t="s">
        <v>6</v>
      </c>
      <c r="C7" s="11"/>
      <c r="D7" s="11"/>
      <c r="E7" s="22" t="s">
        <v>69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7</v>
      </c>
      <c r="S7" s="11"/>
      <c r="T7" s="208" t="s">
        <v>70</v>
      </c>
      <c r="U7" s="208"/>
      <c r="V7" s="208"/>
      <c r="W7" s="119"/>
    </row>
    <row r="8" spans="1:23" ht="11.25" customHeight="1">
      <c r="A8" s="3">
        <v>6</v>
      </c>
      <c r="B8" s="6" t="s">
        <v>34</v>
      </c>
      <c r="C8" s="7"/>
      <c r="D8" s="7"/>
      <c r="E8" s="7" t="s">
        <v>73</v>
      </c>
      <c r="F8" s="7"/>
      <c r="G8" s="204">
        <f>AA61</f>
        <v>1202.1155910998532</v>
      </c>
      <c r="H8" s="200"/>
      <c r="I8" s="7"/>
      <c r="J8" s="7" t="s">
        <v>72</v>
      </c>
      <c r="K8" s="204">
        <f>G8+PI()*O14*E17*L61*2/10^6</f>
        <v>1220.7879611957294</v>
      </c>
      <c r="L8" s="204"/>
      <c r="M8" s="7" t="s">
        <v>71</v>
      </c>
      <c r="N8" s="7"/>
      <c r="O8" s="7"/>
      <c r="P8" s="7"/>
      <c r="Q8" s="7"/>
      <c r="R8" s="8"/>
      <c r="S8" s="8"/>
      <c r="T8" s="8"/>
      <c r="U8" s="8"/>
      <c r="V8" s="8"/>
      <c r="W8" s="12"/>
    </row>
    <row r="9" spans="1:23" ht="11.25" customHeight="1">
      <c r="A9" s="3">
        <v>7</v>
      </c>
      <c r="B9" s="9" t="s">
        <v>32</v>
      </c>
      <c r="C9" s="8"/>
      <c r="D9" s="8"/>
      <c r="E9" s="8"/>
      <c r="F9" s="46">
        <v>1</v>
      </c>
      <c r="G9" s="8"/>
      <c r="H9" s="8" t="s">
        <v>33</v>
      </c>
      <c r="I9" s="8"/>
      <c r="J9" s="8"/>
      <c r="K9" s="46">
        <v>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2"/>
    </row>
    <row r="10" spans="1:37" ht="11.25" customHeight="1">
      <c r="A10" s="3">
        <v>8</v>
      </c>
      <c r="B10" s="205" t="s">
        <v>100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AE10" s="62" t="s">
        <v>98</v>
      </c>
      <c r="AF10" s="58"/>
      <c r="AG10" s="61" t="s">
        <v>91</v>
      </c>
      <c r="AK10" s="58"/>
    </row>
    <row r="11" spans="1:33" ht="11.25" customHeight="1">
      <c r="A11" s="3">
        <v>9</v>
      </c>
      <c r="B11" s="36"/>
      <c r="C11" s="19"/>
      <c r="D11" s="19"/>
      <c r="E11" s="19"/>
      <c r="F11" s="19"/>
      <c r="G11" s="19"/>
      <c r="H11" s="19"/>
      <c r="I11" s="19"/>
      <c r="J11" s="19"/>
      <c r="K11" s="11"/>
      <c r="L11" s="29" t="s">
        <v>99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15"/>
      <c r="AE11" s="3">
        <f>arrange_tube_SnT(T12,"Plain",O14,0,O16,O17,0,S17,T18,U17,V18,S20,0,0,0,48)</f>
        <v>1499.1234484301947</v>
      </c>
      <c r="AF11" s="3"/>
      <c r="AG11" s="3">
        <f>arrange_tube_SnT(T12,"Plain",O14,0,O16,O17,0,S17,T18,U17,V18,S20,0,AG12,0*IF(E20&lt;&gt;"U-tube",1,2),6)</f>
        <v>575.4567825194781</v>
      </c>
    </row>
    <row r="12" spans="1:37" ht="11.25" customHeight="1">
      <c r="A12" s="3">
        <v>10</v>
      </c>
      <c r="B12" s="36"/>
      <c r="C12" s="19"/>
      <c r="D12" s="19"/>
      <c r="E12" s="19"/>
      <c r="F12" s="19"/>
      <c r="G12" s="19"/>
      <c r="H12" s="19"/>
      <c r="I12" s="19"/>
      <c r="J12" s="19"/>
      <c r="K12" s="7"/>
      <c r="L12" s="7" t="s">
        <v>40</v>
      </c>
      <c r="M12" s="7"/>
      <c r="N12" s="7"/>
      <c r="O12" s="7" t="s">
        <v>44</v>
      </c>
      <c r="P12" s="7"/>
      <c r="Q12" s="7"/>
      <c r="R12" s="7"/>
      <c r="S12" s="7" t="s">
        <v>76</v>
      </c>
      <c r="T12" s="209">
        <v>1500</v>
      </c>
      <c r="U12" s="209"/>
      <c r="V12" s="7"/>
      <c r="W12" s="1"/>
      <c r="AD12" s="56" t="s">
        <v>86</v>
      </c>
      <c r="AE12" s="59">
        <f>arrange_tube_SnT(T12,"Plain",O14,0,O16,O17,0,S17,T18,U17,V18,S20,0,0,0,46)</f>
        <v>729.4360206775801</v>
      </c>
      <c r="AF12" s="3">
        <f>arrange_tube_SnT(T12,"Plain",O14,0,O16,O17,0,S17,T18,U17,V18,S20,0,0,AF15*IF(E20&lt;&gt;"U-tube",1,2),-6)</f>
        <v>597.4538165420641</v>
      </c>
      <c r="AG12" s="43">
        <v>597</v>
      </c>
      <c r="AH12" s="59">
        <f>arrange_tube_SnT(T12,"Plain",O14,0,O16,O17,0,S17,T18,U17,V18,S20,AH13,0,0*IF(E20&lt;&gt;"U-tube",1,2),36)</f>
        <v>597.4538165420641</v>
      </c>
      <c r="AK12" s="58"/>
    </row>
    <row r="13" spans="1:38" ht="11.25" customHeight="1">
      <c r="A13" s="3">
        <v>11</v>
      </c>
      <c r="B13" s="36"/>
      <c r="C13" s="19"/>
      <c r="D13" s="19"/>
      <c r="E13" s="19"/>
      <c r="F13" s="19"/>
      <c r="G13" s="19"/>
      <c r="H13" s="33" t="s">
        <v>79</v>
      </c>
      <c r="I13" s="19"/>
      <c r="J13" s="19"/>
      <c r="K13" s="7"/>
      <c r="L13" s="7" t="s">
        <v>41</v>
      </c>
      <c r="M13" s="7"/>
      <c r="N13" s="7"/>
      <c r="O13" s="7" t="s">
        <v>45</v>
      </c>
      <c r="P13" s="7"/>
      <c r="Q13" s="7"/>
      <c r="R13" s="7"/>
      <c r="S13" s="7"/>
      <c r="T13" s="7"/>
      <c r="U13" s="7"/>
      <c r="V13" s="7"/>
      <c r="W13" s="1"/>
      <c r="Y13" s="2" t="s">
        <v>59</v>
      </c>
      <c r="Z13" s="44">
        <f>mindex(O13,-1)</f>
        <v>7.93</v>
      </c>
      <c r="AD13" s="56" t="s">
        <v>87</v>
      </c>
      <c r="AE13" s="3">
        <f>arrange_tube_SnT(T12,"Plain",O14,0,O16,O17,0,S17,T18,U17,V18,S20,0,0,0,40)</f>
        <v>31</v>
      </c>
      <c r="AF13" s="3">
        <f>arrange_tube_SnT(T12,"Plain",O14,0,O16,O17,0,S17,T18,U17,V18,S20,0,0,AF15*IF(E20&lt;&gt;"U-tube",1,2),-10)</f>
        <v>25</v>
      </c>
      <c r="AG13" s="3">
        <f>arrange_tube_SnT(T12,"Plain",O14,0,O16,O17,0,S17,T18,U17,V18,S20,0,AG12,0*IF(E20&lt;&gt;"U-tube",1,2),0)</f>
        <v>24</v>
      </c>
      <c r="AH13" s="43">
        <v>25</v>
      </c>
      <c r="AK13" s="56">
        <f>arrange_tube_SnT(T12,"Plain",O14,0,O16,O17,0,S17,T18,U17,V18,S20,AK17,T12/2,0,14)</f>
        <v>21.997034022586007</v>
      </c>
      <c r="AL13" s="2" t="s">
        <v>90</v>
      </c>
    </row>
    <row r="14" spans="1:38" ht="11.25" customHeight="1">
      <c r="A14" s="3">
        <v>12</v>
      </c>
      <c r="B14" s="36"/>
      <c r="C14" s="19"/>
      <c r="D14" s="19"/>
      <c r="E14" s="33" t="s">
        <v>37</v>
      </c>
      <c r="F14" s="203">
        <v>7900</v>
      </c>
      <c r="G14" s="203"/>
      <c r="I14" s="19"/>
      <c r="J14" s="19"/>
      <c r="K14" s="7"/>
      <c r="L14" s="7" t="s">
        <v>43</v>
      </c>
      <c r="M14" s="7"/>
      <c r="N14" s="7"/>
      <c r="O14" s="202">
        <v>19.05</v>
      </c>
      <c r="P14" s="202"/>
      <c r="Q14" s="7"/>
      <c r="R14" s="7"/>
      <c r="S14" s="7"/>
      <c r="T14" s="7"/>
      <c r="U14" s="7"/>
      <c r="V14" s="7"/>
      <c r="W14" s="1"/>
      <c r="AD14" s="56" t="s">
        <v>88</v>
      </c>
      <c r="AE14" s="3">
        <f>arrange_tube_SnT(T12,"Plain",O14,0,O16,O17,0,S17,T18,U17,V18,S20,0,0,0,41)</f>
        <v>13</v>
      </c>
      <c r="AF14" s="3">
        <f>arrange_tube_SnT(T12,"Plain",O14,0,O16,O17,0,S17,T18,U17,V18,S20,0,0,AF15*IF(E20&lt;&gt;"U-tube",1,2),-1)</f>
        <v>35</v>
      </c>
      <c r="AG14" s="3">
        <f>arrange_tube_SnT(T12,"Plain",O14,0,O16,O17,0,S17,T18,U17,V18,S20,0,AG12,0*IF(E20&lt;&gt;"U-tube",1,2),1)</f>
        <v>38</v>
      </c>
      <c r="AH14" s="3">
        <f>arrange_tube_SnT(T12,"Plain",O14,0,O16,O17,0,S17,T18,U17,V18,S20,AH13,0,0*IF(E20&lt;&gt;"U-tube",1,2),31)</f>
        <v>35</v>
      </c>
      <c r="AJ14" s="59">
        <f>arrange_tube_SnT(T12,"Plain",O14,0,O16,O17,0,S17,T18,U17,V18,S20,AK17,T12/2,0,11)</f>
        <v>0</v>
      </c>
      <c r="AK14" s="56">
        <f>arrange_tube_SnT(T12,"Plain",O14,0,O16,O17,0,S17,T18,U17,V18,S20,AK17,T12/2,0,13)</f>
        <v>25.4</v>
      </c>
      <c r="AL14" s="57" t="s">
        <v>97</v>
      </c>
    </row>
    <row r="15" spans="1:37" ht="11.25" customHeight="1">
      <c r="A15" s="3">
        <v>13</v>
      </c>
      <c r="B15" s="36"/>
      <c r="C15" s="19"/>
      <c r="D15" s="19"/>
      <c r="E15" s="19"/>
      <c r="F15" s="19"/>
      <c r="G15" s="19"/>
      <c r="H15" s="19"/>
      <c r="I15" s="19"/>
      <c r="J15" s="19"/>
      <c r="K15" s="7"/>
      <c r="L15" s="7" t="s">
        <v>42</v>
      </c>
      <c r="M15" s="7"/>
      <c r="N15" s="34" t="s">
        <v>46</v>
      </c>
      <c r="O15" s="202">
        <v>1.25</v>
      </c>
      <c r="P15" s="202"/>
      <c r="R15" s="7"/>
      <c r="S15" s="7" t="s">
        <v>78</v>
      </c>
      <c r="T15" s="53"/>
      <c r="U15" s="7">
        <f>PI()/4*(O14^2-(O14-2*Z15)^2)*1000/10^9*Z13*1000</f>
        <v>0.5543104617810171</v>
      </c>
      <c r="V15" s="7" t="s">
        <v>58</v>
      </c>
      <c r="W15" s="1"/>
      <c r="Y15" s="56" t="s">
        <v>60</v>
      </c>
      <c r="Z15" s="44">
        <f>O15*IF(N15&lt;&gt;"Min.",1,1+AA15/100)</f>
        <v>1.25</v>
      </c>
      <c r="AA15" s="43">
        <v>10</v>
      </c>
      <c r="AB15" s="2" t="s">
        <v>93</v>
      </c>
      <c r="AD15" s="56" t="s">
        <v>89</v>
      </c>
      <c r="AE15" s="3">
        <f>arrange_tube_SnT(T12,"Plain",O14,0,O16,O17,0,S17,T18,U17,V18,S20,0,0,0,42)/IF(E20&lt;&gt;"U-tube",1,2)</f>
        <v>1412</v>
      </c>
      <c r="AF15" s="43">
        <v>1263</v>
      </c>
      <c r="AG15" s="3">
        <f>arrange_tube_SnT(T12,"Plain",O14,0,O16,O17,0,S17,T18,U17,V18,S20,0,AG12,0*IF(E20&lt;&gt;"U-tube",1,2),2)/IF(E20&lt;&gt;"U-tube",1,2)</f>
        <v>1228</v>
      </c>
      <c r="AH15" s="3">
        <f>arrange_tube_SnT(T12,"Plain",O14,0,O16,O17,0,S17,T18,U17,V18,S20,AH13,0,0*IF(E20&lt;&gt;"U-tube",1,2),32)/IF(E20&lt;&gt;"U-tube",1,2)</f>
        <v>1263</v>
      </c>
      <c r="AK15" s="228">
        <f>arrange_tube_SnT(T12,"Plain",O14,0,O16,O17,0,S17,T18,U17,V18,S20,AK17,T12/2,0,12)</f>
        <v>60</v>
      </c>
    </row>
    <row r="16" spans="1:37" ht="11.25" customHeight="1">
      <c r="A16" s="3">
        <v>14</v>
      </c>
      <c r="B16" s="36"/>
      <c r="C16" s="33" t="s">
        <v>38</v>
      </c>
      <c r="D16" s="19"/>
      <c r="E16" s="19"/>
      <c r="F16" s="19"/>
      <c r="G16" s="19"/>
      <c r="H16" s="19"/>
      <c r="I16" s="19"/>
      <c r="J16" s="19"/>
      <c r="K16" s="7"/>
      <c r="L16" s="7" t="s">
        <v>51</v>
      </c>
      <c r="M16" s="7"/>
      <c r="N16" s="7"/>
      <c r="O16" s="7" t="s">
        <v>53</v>
      </c>
      <c r="P16" s="7"/>
      <c r="Q16" s="7"/>
      <c r="R16" s="7"/>
      <c r="S16" s="40" t="s">
        <v>77</v>
      </c>
      <c r="T16" s="7"/>
      <c r="U16" s="7"/>
      <c r="V16" s="7"/>
      <c r="W16" s="1"/>
      <c r="AE16" s="56" t="s">
        <v>94</v>
      </c>
      <c r="AF16" s="2">
        <f>arrange_tube_SnT(T12,"Plain",O14,0,O16,O17,0,S17,T18,U17,V18,S20,0,0,AF15*IF(E20&lt;&gt;"U-tube",1,2),-2)/IF(E20&lt;&gt;"U-tube",1,2)</f>
        <v>1263</v>
      </c>
      <c r="AI16" s="57"/>
      <c r="AK16" s="228"/>
    </row>
    <row r="17" spans="1:37" ht="11.25" customHeight="1">
      <c r="A17" s="3">
        <v>15</v>
      </c>
      <c r="B17" s="36"/>
      <c r="C17" s="41">
        <v>3</v>
      </c>
      <c r="D17" s="19"/>
      <c r="E17" s="41">
        <v>130</v>
      </c>
      <c r="F17" s="19" t="s">
        <v>39</v>
      </c>
      <c r="G17" s="39"/>
      <c r="H17" s="19"/>
      <c r="I17" s="19"/>
      <c r="J17" s="19"/>
      <c r="K17" s="7"/>
      <c r="L17" s="7" t="s">
        <v>52</v>
      </c>
      <c r="M17" s="7"/>
      <c r="N17" s="7"/>
      <c r="O17" s="202">
        <v>25.4</v>
      </c>
      <c r="P17" s="202"/>
      <c r="Q17" s="7"/>
      <c r="R17" s="7"/>
      <c r="S17" s="200" t="s">
        <v>75</v>
      </c>
      <c r="T17" s="200"/>
      <c r="U17" s="200" t="s">
        <v>96</v>
      </c>
      <c r="V17" s="200"/>
      <c r="W17" s="1"/>
      <c r="Y17" s="54" t="s">
        <v>57</v>
      </c>
      <c r="Z17" s="19"/>
      <c r="AA17" s="19"/>
      <c r="AB17" s="19"/>
      <c r="AC17" s="19"/>
      <c r="AD17" s="19"/>
      <c r="AE17" s="56" t="s">
        <v>95</v>
      </c>
      <c r="AF17" s="3">
        <f>arrange_tube_SnT(T12,"Plain",O14,0,O16,O17,0,S17,T18,U17,V18,S20,0,0,AF15*IF(E20&lt;&gt;"U-tube",1,2),-7)</f>
        <v>0.09426954910079052</v>
      </c>
      <c r="AG17" s="3">
        <f>arrange_tube_SnT(T12,"Plain",O14,0,O16,O17,0,S17,T18,U17,V18,S20,0,AG12,0*IF(E20&lt;&gt;"U-tube",1,2),7)</f>
        <v>0.11483254526315885</v>
      </c>
      <c r="AH17" s="3">
        <f>arrange_tube_SnT(T12,"Plain",O14,0,O16,O17,0,S17,T18,U17,V18,S20,AH13,0,0*IF(E20&lt;&gt;"U-tube",1,2),37)</f>
        <v>0.09426954910079052</v>
      </c>
      <c r="AJ17" s="56" t="s">
        <v>87</v>
      </c>
      <c r="AK17" s="71">
        <v>1</v>
      </c>
    </row>
    <row r="18" spans="1:37" ht="11.25" customHeight="1">
      <c r="A18" s="3">
        <v>16</v>
      </c>
      <c r="B18" s="36"/>
      <c r="C18" s="19"/>
      <c r="D18" s="19"/>
      <c r="E18" s="211">
        <f>F14+E17+C17</f>
        <v>8033</v>
      </c>
      <c r="F18" s="212"/>
      <c r="G18" s="212"/>
      <c r="H18" s="19"/>
      <c r="I18" s="19"/>
      <c r="J18" s="19"/>
      <c r="K18" s="7"/>
      <c r="L18" s="7" t="s">
        <v>54</v>
      </c>
      <c r="M18" s="7"/>
      <c r="N18" s="7"/>
      <c r="O18" s="207">
        <f>O17/O14</f>
        <v>1.3333333333333333</v>
      </c>
      <c r="P18" s="207"/>
      <c r="Q18" s="7"/>
      <c r="R18" s="7"/>
      <c r="S18" s="34" t="s">
        <v>80</v>
      </c>
      <c r="T18" s="35">
        <v>0</v>
      </c>
      <c r="U18" s="34" t="s">
        <v>81</v>
      </c>
      <c r="V18" s="35">
        <f>C24</f>
        <v>60</v>
      </c>
      <c r="W18" s="1"/>
      <c r="Y18" s="16">
        <f>IF(O16="Triangular",SIN(60/180*PI()),IF(O16="Rotated Triangular",COS(60/180*PI()),IF(O16="Square",1,IF(O16="Rotated Square",COS(45/180*PI())))))</f>
        <v>0.8660254037844386</v>
      </c>
      <c r="Z18" s="16" t="s">
        <v>56</v>
      </c>
      <c r="AA18" s="16">
        <f>O17</f>
        <v>25.4</v>
      </c>
      <c r="AE18" s="19"/>
      <c r="AF18" s="19"/>
      <c r="AG18" s="19"/>
      <c r="AH18" s="19"/>
      <c r="AI18" s="19"/>
      <c r="AJ18" s="56" t="s">
        <v>88</v>
      </c>
      <c r="AK18" s="3">
        <f>arrange_tube_SnT(T12,"Plain",O14,0,O16,O17,0,S17,T18,U17,V18,S20,AK17,T12/2,0,31)</f>
        <v>59</v>
      </c>
    </row>
    <row r="19" spans="1:36" ht="11.25" customHeight="1">
      <c r="A19" s="3">
        <v>17</v>
      </c>
      <c r="B19" s="36"/>
      <c r="C19" s="19"/>
      <c r="D19" s="19"/>
      <c r="E19" s="19"/>
      <c r="F19" s="19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40" t="s">
        <v>92</v>
      </c>
      <c r="T19" s="7"/>
      <c r="U19" s="7"/>
      <c r="V19" s="7"/>
      <c r="W19" s="1"/>
      <c r="Y19" s="16" t="s">
        <v>55</v>
      </c>
      <c r="Z19" s="193">
        <f>IF(O16="Triangular",O17*SIN(60/180*PI()),IF(O16="Rotated Triangular",O17*COS(60/180*PI()),IF(O16="Square",O17,IF(O16="Rotated Square",O17*COS(45/180*PI())))))</f>
        <v>21.99704525612474</v>
      </c>
      <c r="AA19" s="193"/>
      <c r="AE19" s="19"/>
      <c r="AF19" s="19"/>
      <c r="AG19" s="19"/>
      <c r="AH19" s="19"/>
      <c r="AI19" s="19"/>
      <c r="AJ19" s="57"/>
    </row>
    <row r="20" spans="1:35" ht="11.25" customHeight="1">
      <c r="A20" s="3">
        <v>18</v>
      </c>
      <c r="B20" s="36"/>
      <c r="C20" s="19" t="s">
        <v>82</v>
      </c>
      <c r="D20" s="19"/>
      <c r="E20" s="24" t="s">
        <v>83</v>
      </c>
      <c r="F20" s="19"/>
      <c r="G20" s="19"/>
      <c r="H20" s="19"/>
      <c r="I20" s="19"/>
      <c r="J20" s="19"/>
      <c r="K20" s="17"/>
      <c r="L20" s="8"/>
      <c r="M20" s="8"/>
      <c r="N20" s="8"/>
      <c r="O20" s="8"/>
      <c r="P20" s="8"/>
      <c r="Q20" s="8"/>
      <c r="R20" s="8"/>
      <c r="S20" s="210" t="s">
        <v>75</v>
      </c>
      <c r="T20" s="210"/>
      <c r="U20" s="8"/>
      <c r="V20" s="8"/>
      <c r="W20" s="18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1.25" customHeight="1">
      <c r="A21" s="3">
        <v>19</v>
      </c>
      <c r="B21" s="205" t="s">
        <v>111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6" ht="11.25" customHeight="1">
      <c r="A22" s="3">
        <v>20</v>
      </c>
      <c r="B22" s="74" t="s">
        <v>48</v>
      </c>
      <c r="C22" s="213" t="s">
        <v>84</v>
      </c>
      <c r="D22" s="214"/>
      <c r="E22" s="214" t="s">
        <v>85</v>
      </c>
      <c r="F22" s="215"/>
      <c r="G22" s="241" t="str">
        <f>E20&amp;" Length, mm"</f>
        <v>U-tube Length, mm</v>
      </c>
      <c r="H22" s="242"/>
      <c r="I22" s="242"/>
      <c r="J22" s="243"/>
      <c r="K22" s="246" t="s">
        <v>61</v>
      </c>
      <c r="L22" s="247"/>
      <c r="M22" s="247"/>
      <c r="N22" s="247"/>
      <c r="O22" s="248"/>
      <c r="P22" s="241" t="s">
        <v>103</v>
      </c>
      <c r="Q22" s="242"/>
      <c r="R22" s="242"/>
      <c r="S22" s="242"/>
      <c r="T22" s="242"/>
      <c r="U22" s="243"/>
      <c r="V22" s="235" t="s">
        <v>108</v>
      </c>
      <c r="W22" s="236"/>
      <c r="X22" s="44"/>
      <c r="Y22" s="224" t="s">
        <v>62</v>
      </c>
      <c r="Z22" s="225"/>
      <c r="AA22" s="225"/>
      <c r="AB22" s="226"/>
      <c r="AC22" s="42"/>
      <c r="AD22" s="42"/>
      <c r="AE22" s="42"/>
      <c r="AF22" s="42"/>
      <c r="AG22" s="42"/>
      <c r="AH22" s="42"/>
      <c r="AI22" s="42"/>
      <c r="AJ22" s="44"/>
    </row>
    <row r="23" spans="1:36" ht="11.25" customHeight="1">
      <c r="A23" s="3">
        <v>21</v>
      </c>
      <c r="B23" s="52" t="s">
        <v>49</v>
      </c>
      <c r="C23" s="218" t="s">
        <v>50</v>
      </c>
      <c r="D23" s="219"/>
      <c r="E23" s="219" t="s">
        <v>50</v>
      </c>
      <c r="F23" s="220"/>
      <c r="G23" s="216" t="str">
        <f>L23</f>
        <v>Installed</v>
      </c>
      <c r="H23" s="217"/>
      <c r="I23" s="217" t="str">
        <f>N23</f>
        <v>Ordered</v>
      </c>
      <c r="J23" s="249"/>
      <c r="K23" s="66" t="s">
        <v>74</v>
      </c>
      <c r="L23" s="222" t="s">
        <v>65</v>
      </c>
      <c r="M23" s="223"/>
      <c r="N23" s="244" t="s">
        <v>104</v>
      </c>
      <c r="O23" s="245"/>
      <c r="P23" s="75" t="s">
        <v>106</v>
      </c>
      <c r="Q23" s="239" t="str">
        <f>L23</f>
        <v>Installed</v>
      </c>
      <c r="R23" s="240"/>
      <c r="S23" s="75" t="s">
        <v>105</v>
      </c>
      <c r="T23" s="239" t="str">
        <f>N23</f>
        <v>Ordered</v>
      </c>
      <c r="U23" s="240"/>
      <c r="V23" s="237"/>
      <c r="W23" s="238"/>
      <c r="X23" s="44"/>
      <c r="Y23" s="227" t="s">
        <v>63</v>
      </c>
      <c r="Z23" s="219"/>
      <c r="AA23" s="219" t="s">
        <v>64</v>
      </c>
      <c r="AB23" s="220"/>
      <c r="AC23" s="38"/>
      <c r="AD23" s="38"/>
      <c r="AE23" s="38"/>
      <c r="AF23" s="38"/>
      <c r="AG23" s="38"/>
      <c r="AH23" s="38"/>
      <c r="AI23" s="38"/>
      <c r="AJ23" s="44"/>
    </row>
    <row r="24" spans="1:35" ht="11.25" customHeight="1">
      <c r="A24" s="3">
        <v>22</v>
      </c>
      <c r="B24" s="72">
        <v>1</v>
      </c>
      <c r="C24" s="221">
        <v>60</v>
      </c>
      <c r="D24" s="155"/>
      <c r="E24" s="184">
        <f>PI()*C24</f>
        <v>188.49555921538757</v>
      </c>
      <c r="F24" s="188"/>
      <c r="G24" s="183">
        <f>E24+2*E18</f>
        <v>16254.495559215387</v>
      </c>
      <c r="H24" s="184"/>
      <c r="I24" s="175">
        <f>IF(OR(N24="",N24&lt;1),"",INT(G24/10)*10+G66)</f>
      </c>
      <c r="J24" s="176"/>
      <c r="K24" s="63">
        <f>IF(OR(L24="",L24&lt;1),"",arrange_tube_SnT(T12,"Plain",O14,0,O16,O17,0,S17,T18,U17,V18,S20,B24,T12/2,0,31))</f>
        <v>59</v>
      </c>
      <c r="L24" s="155">
        <v>56</v>
      </c>
      <c r="M24" s="155"/>
      <c r="N24" s="152"/>
      <c r="O24" s="153"/>
      <c r="P24" s="79">
        <f>IF(OR(L24="",L24&lt;1),"",U15*G24/1000)</f>
        <v>9.010036939446172</v>
      </c>
      <c r="Q24" s="148">
        <f>IF(OR(L24="",L24&lt;1),"",P24*L24)</f>
        <v>504.5620686089856</v>
      </c>
      <c r="R24" s="149"/>
      <c r="S24" s="79">
        <f>IF(OR(I24="",I24&lt;1),"",U15*I24/1000)</f>
      </c>
      <c r="T24" s="148">
        <f aca="true" t="shared" si="0" ref="T24:T60">IF(OR(N24="",N24&lt;1),"",S24*N24)</f>
      </c>
      <c r="U24" s="149"/>
      <c r="V24" s="113"/>
      <c r="W24" s="114"/>
      <c r="Y24" s="165">
        <f>PI()*O14*(2*F14+E24)/10^6</f>
        <v>0.956868930634437</v>
      </c>
      <c r="Z24" s="166"/>
      <c r="AA24" s="167">
        <f aca="true" t="shared" si="1" ref="AA24:AA60">Y24*L24</f>
        <v>53.58466011552847</v>
      </c>
      <c r="AB24" s="168"/>
      <c r="AC24" s="11"/>
      <c r="AD24" s="11"/>
      <c r="AE24" s="11"/>
      <c r="AF24" s="11"/>
      <c r="AG24" s="11"/>
      <c r="AH24" s="11"/>
      <c r="AI24" s="11"/>
    </row>
    <row r="25" spans="1:35" ht="11.25" customHeight="1">
      <c r="A25" s="3">
        <v>23</v>
      </c>
      <c r="B25" s="67">
        <f>B24+1</f>
        <v>2</v>
      </c>
      <c r="C25" s="189">
        <f>C24+Z19</f>
        <v>81.99704525612474</v>
      </c>
      <c r="D25" s="190"/>
      <c r="E25" s="180">
        <f>PI()*C25</f>
        <v>257.60131499271125</v>
      </c>
      <c r="F25" s="185"/>
      <c r="G25" s="179">
        <f>E25+2*E18</f>
        <v>16323.601314992711</v>
      </c>
      <c r="H25" s="180"/>
      <c r="I25" s="169">
        <f>IF(OR(N25="",N25&lt;1),"",INT(G25/10)*10+G66)</f>
        <v>16520</v>
      </c>
      <c r="J25" s="170"/>
      <c r="K25" s="64">
        <f>IF(OR(L25="",L25&lt;1),"",arrange_tube_SnT(T12,"Plain",O14,0,O16,O17,0,S17,T18,U17,V18,S20,B25,T12/2,0,31))</f>
        <v>58</v>
      </c>
      <c r="L25" s="142">
        <v>57</v>
      </c>
      <c r="M25" s="142"/>
      <c r="N25" s="142">
        <f>SUM(L24:M25)</f>
        <v>113</v>
      </c>
      <c r="O25" s="154"/>
      <c r="P25" s="77">
        <f>IF(OR(L25="",L25&lt;1),"",U15*G25/1000)</f>
        <v>9.048342982842827</v>
      </c>
      <c r="Q25" s="138">
        <f aca="true" t="shared" si="2" ref="Q25:Q60">IF(OR(L25="",L25&lt;1),"",P25*L25)</f>
        <v>515.7555500220411</v>
      </c>
      <c r="R25" s="139"/>
      <c r="S25" s="77">
        <f>IF(OR(I25="",I25&lt;1),"",U15*I25/1000)</f>
        <v>9.157208828622403</v>
      </c>
      <c r="T25" s="138">
        <f t="shared" si="0"/>
        <v>1034.7645976343315</v>
      </c>
      <c r="U25" s="139"/>
      <c r="V25" s="113"/>
      <c r="W25" s="114"/>
      <c r="Y25" s="157">
        <f>PI()*O14*(2*F14+E25)/10^6</f>
        <v>0.961004726299916</v>
      </c>
      <c r="Z25" s="158"/>
      <c r="AA25" s="159">
        <f t="shared" si="1"/>
        <v>54.77726939909521</v>
      </c>
      <c r="AB25" s="160"/>
      <c r="AC25" s="7"/>
      <c r="AD25" s="7"/>
      <c r="AE25" s="45"/>
      <c r="AF25" s="7"/>
      <c r="AG25" s="7"/>
      <c r="AH25" s="7"/>
      <c r="AI25" s="7"/>
    </row>
    <row r="26" spans="1:35" ht="11.25" customHeight="1">
      <c r="A26" s="3">
        <v>24</v>
      </c>
      <c r="B26" s="67">
        <f aca="true" t="shared" si="3" ref="B26:B60">B25+1</f>
        <v>3</v>
      </c>
      <c r="C26" s="189">
        <f>C25+Z19</f>
        <v>103.99409051224947</v>
      </c>
      <c r="D26" s="190"/>
      <c r="E26" s="180">
        <f>PI()*C26</f>
        <v>326.70707077003493</v>
      </c>
      <c r="F26" s="185"/>
      <c r="G26" s="179">
        <f>E26+2*E18</f>
        <v>16392.707070770033</v>
      </c>
      <c r="H26" s="180"/>
      <c r="I26" s="169">
        <f>IF(OR(N26="",N26&lt;1),"",INT(G26/10)*10+G66)</f>
      </c>
      <c r="J26" s="170"/>
      <c r="K26" s="64">
        <f>IF(OR(L26="",L26&lt;1),"",arrange_tube_SnT(T12,"Plain",O14,0,O16,O17,0,S17,T18,U17,V18,S20,B26,T12/2,0,31))</f>
        <v>57</v>
      </c>
      <c r="L26" s="142">
        <v>56</v>
      </c>
      <c r="M26" s="142"/>
      <c r="N26" s="120"/>
      <c r="O26" s="121"/>
      <c r="P26" s="77">
        <f>IF(OR(L26="",L26&lt;1),"",U15*G26/1000)</f>
        <v>9.08664902623948</v>
      </c>
      <c r="Q26" s="138">
        <f t="shared" si="2"/>
        <v>508.85234546941086</v>
      </c>
      <c r="R26" s="139"/>
      <c r="S26" s="77">
        <f>IF(OR(I26="",I26&lt;1),"",U15*I26/1000)</f>
      </c>
      <c r="T26" s="138">
        <f t="shared" si="0"/>
      </c>
      <c r="U26" s="139"/>
      <c r="V26" s="113"/>
      <c r="W26" s="114"/>
      <c r="Y26" s="157">
        <f>PI()*O14*(2*F14+E26)/10^6</f>
        <v>0.965140521965395</v>
      </c>
      <c r="Z26" s="158"/>
      <c r="AA26" s="159">
        <f t="shared" si="1"/>
        <v>54.04786923006212</v>
      </c>
      <c r="AB26" s="160"/>
      <c r="AC26" s="7"/>
      <c r="AD26" s="7"/>
      <c r="AE26" s="7"/>
      <c r="AF26" s="7"/>
      <c r="AG26" s="7"/>
      <c r="AH26" s="7"/>
      <c r="AI26" s="7"/>
    </row>
    <row r="27" spans="1:35" ht="11.25" customHeight="1">
      <c r="A27" s="3">
        <v>25</v>
      </c>
      <c r="B27" s="67">
        <f>B26+1</f>
        <v>4</v>
      </c>
      <c r="C27" s="189">
        <f>C26+Z19</f>
        <v>125.9911357683742</v>
      </c>
      <c r="D27" s="190"/>
      <c r="E27" s="180">
        <f aca="true" t="shared" si="4" ref="E27:E60">PI()*C27</f>
        <v>395.8128265473586</v>
      </c>
      <c r="F27" s="185"/>
      <c r="G27" s="179">
        <f>E27+2*E18</f>
        <v>16461.812826547357</v>
      </c>
      <c r="H27" s="180"/>
      <c r="I27" s="169">
        <f>IF(OR(N27="",N27&lt;1),"",INT(G27/10)*10+G66)</f>
        <v>16660</v>
      </c>
      <c r="J27" s="170"/>
      <c r="K27" s="64">
        <f>IF(OR(L27="",L27&lt;1),"",arrange_tube_SnT(T12,"Plain",O14,0,O16,O17,0,S17,T18,U17,V18,S20,B27,T12/2,0,31))</f>
        <v>58</v>
      </c>
      <c r="L27" s="142">
        <v>57</v>
      </c>
      <c r="M27" s="142"/>
      <c r="N27" s="142">
        <f>SUM(L26:M27)</f>
        <v>113</v>
      </c>
      <c r="O27" s="154"/>
      <c r="P27" s="77">
        <f>IF(OR(L27="",L27&lt;1),"",U15*G27/1000)</f>
        <v>9.124955069636135</v>
      </c>
      <c r="Q27" s="138">
        <f t="shared" si="2"/>
        <v>520.1224389692597</v>
      </c>
      <c r="R27" s="139"/>
      <c r="S27" s="77">
        <f>IF(OR(I27="",I27&lt;1),"",U15*I27/1000)</f>
        <v>9.234812293271743</v>
      </c>
      <c r="T27" s="138">
        <f t="shared" si="0"/>
        <v>1043.5337891397069</v>
      </c>
      <c r="U27" s="139"/>
      <c r="V27" s="113"/>
      <c r="W27" s="114"/>
      <c r="Y27" s="157">
        <f>PI()*O14*(2*F14+E27)/10^6</f>
        <v>0.9692763176308739</v>
      </c>
      <c r="Z27" s="158"/>
      <c r="AA27" s="159">
        <f t="shared" si="1"/>
        <v>55.24875010495981</v>
      </c>
      <c r="AB27" s="160"/>
      <c r="AC27" s="7"/>
      <c r="AD27" s="7"/>
      <c r="AE27" s="7"/>
      <c r="AF27" s="7"/>
      <c r="AG27" s="7"/>
      <c r="AH27" s="7"/>
      <c r="AI27" s="7"/>
    </row>
    <row r="28" spans="1:35" ht="11.25" customHeight="1">
      <c r="A28" s="3">
        <v>26</v>
      </c>
      <c r="B28" s="67">
        <f t="shared" si="3"/>
        <v>5</v>
      </c>
      <c r="C28" s="189">
        <f>C27+Z19</f>
        <v>147.98818102449894</v>
      </c>
      <c r="D28" s="190"/>
      <c r="E28" s="180">
        <f t="shared" si="4"/>
        <v>464.9185823246823</v>
      </c>
      <c r="F28" s="185"/>
      <c r="G28" s="179">
        <f>E28+2*E18</f>
        <v>16530.91858232468</v>
      </c>
      <c r="H28" s="180"/>
      <c r="I28" s="169">
        <f>IF(OR(N28="",N28&lt;1),"",INT(G28/10)*10+G66)</f>
      </c>
      <c r="J28" s="170"/>
      <c r="K28" s="64">
        <f>IF(OR(L28="",L28&lt;1),"",arrange_tube_SnT(T12,"Plain",O14,0,O16,O17,0,S17,T18,U17,V18,S20,B28,T12/2,0,31))</f>
        <v>57</v>
      </c>
      <c r="L28" s="142">
        <v>56</v>
      </c>
      <c r="M28" s="142"/>
      <c r="N28" s="120"/>
      <c r="O28" s="121"/>
      <c r="P28" s="77">
        <f>IF(OR(L28="",L28&lt;1),"",U15*G28/1000)</f>
        <v>9.163261113032789</v>
      </c>
      <c r="Q28" s="138">
        <f t="shared" si="2"/>
        <v>513.1426223298362</v>
      </c>
      <c r="R28" s="139"/>
      <c r="S28" s="77">
        <f>IF(OR(I28="",I28&lt;1),"",U15*I28/1000)</f>
      </c>
      <c r="T28" s="138">
        <f t="shared" si="0"/>
      </c>
      <c r="U28" s="139"/>
      <c r="V28" s="113"/>
      <c r="W28" s="114"/>
      <c r="Y28" s="157">
        <f>PI()*O14*(2*F14+E28)/10^6</f>
        <v>0.9734121132963528</v>
      </c>
      <c r="Z28" s="158"/>
      <c r="AA28" s="159">
        <f t="shared" si="1"/>
        <v>54.51107834459576</v>
      </c>
      <c r="AB28" s="160"/>
      <c r="AC28" s="7"/>
      <c r="AD28" s="7"/>
      <c r="AE28" s="7"/>
      <c r="AF28" s="7"/>
      <c r="AG28" s="7"/>
      <c r="AH28" s="7"/>
      <c r="AI28" s="7"/>
    </row>
    <row r="29" spans="1:35" ht="11.25" customHeight="1">
      <c r="A29" s="3">
        <v>27</v>
      </c>
      <c r="B29" s="67">
        <f t="shared" si="3"/>
        <v>6</v>
      </c>
      <c r="C29" s="189">
        <f>C28+Z19</f>
        <v>169.9852262806237</v>
      </c>
      <c r="D29" s="190"/>
      <c r="E29" s="180">
        <f t="shared" si="4"/>
        <v>534.024338102006</v>
      </c>
      <c r="F29" s="185"/>
      <c r="G29" s="179">
        <f>E29+2*E18</f>
        <v>16600.024338102005</v>
      </c>
      <c r="H29" s="180"/>
      <c r="I29" s="169">
        <f>IF(OR(N29="",N29&lt;1),"",INT(G29/10)*10+G66)</f>
        <v>16800</v>
      </c>
      <c r="J29" s="170"/>
      <c r="K29" s="64">
        <f>IF(OR(L29="",L29&lt;1),"",arrange_tube_SnT(T12,"Plain",O14,0,O16,O17,0,S17,T18,U17,V18,S20,B29,T12/2,0,31))</f>
        <v>56</v>
      </c>
      <c r="L29" s="142">
        <v>55</v>
      </c>
      <c r="M29" s="142"/>
      <c r="N29" s="142">
        <f>SUM(L28:M29)</f>
        <v>111</v>
      </c>
      <c r="O29" s="154"/>
      <c r="P29" s="77">
        <f>IF(OR(L29="",L29&lt;1),"",U15*G29/1000)</f>
        <v>9.201567156429444</v>
      </c>
      <c r="Q29" s="138">
        <f t="shared" si="2"/>
        <v>506.08619360361945</v>
      </c>
      <c r="R29" s="139"/>
      <c r="S29" s="77">
        <f>IF(OR(I29="",I29&lt;1),"",U15*I29/1000)</f>
        <v>9.312415757921086</v>
      </c>
      <c r="T29" s="138">
        <f t="shared" si="0"/>
        <v>1033.6781491292404</v>
      </c>
      <c r="U29" s="139"/>
      <c r="V29" s="113"/>
      <c r="W29" s="114"/>
      <c r="Y29" s="157">
        <f>PI()*O14*(2*F14+E29)/10^6</f>
        <v>0.9775479089618317</v>
      </c>
      <c r="Z29" s="158"/>
      <c r="AA29" s="159">
        <f t="shared" si="1"/>
        <v>53.76513499290075</v>
      </c>
      <c r="AB29" s="160"/>
      <c r="AC29" s="7"/>
      <c r="AD29" s="7"/>
      <c r="AE29" s="7"/>
      <c r="AF29" s="7"/>
      <c r="AG29" s="7"/>
      <c r="AH29" s="7"/>
      <c r="AI29" s="7"/>
    </row>
    <row r="30" spans="1:35" ht="11.25" customHeight="1">
      <c r="A30" s="3">
        <v>28</v>
      </c>
      <c r="B30" s="67">
        <f>B29+1</f>
        <v>7</v>
      </c>
      <c r="C30" s="189">
        <f>C29+Z19</f>
        <v>191.98227153674844</v>
      </c>
      <c r="D30" s="190"/>
      <c r="E30" s="180">
        <f t="shared" si="4"/>
        <v>603.1300938793297</v>
      </c>
      <c r="F30" s="185"/>
      <c r="G30" s="179">
        <f>E30+2*E18</f>
        <v>16669.13009387933</v>
      </c>
      <c r="H30" s="180"/>
      <c r="I30" s="169">
        <f>IF(OR(N30="",N30&lt;1),"",INT(G30/10)*10+G66)</f>
      </c>
      <c r="J30" s="170"/>
      <c r="K30" s="64">
        <f>IF(OR(L30="",L30&lt;1),"",arrange_tube_SnT(T12,"Plain",O14,0,O16,O17,0,S17,T18,U17,V18,S20,B30,T12/2,0,31))</f>
        <v>57</v>
      </c>
      <c r="L30" s="142">
        <v>54</v>
      </c>
      <c r="M30" s="142"/>
      <c r="N30" s="120"/>
      <c r="O30" s="121"/>
      <c r="P30" s="77">
        <f>IF(OR(L30="",L30&lt;1),"",U15*G30/1000)</f>
        <v>9.2398731998261</v>
      </c>
      <c r="Q30" s="138">
        <f t="shared" si="2"/>
        <v>498.9531527906094</v>
      </c>
      <c r="R30" s="139"/>
      <c r="S30" s="77">
        <f>IF(OR(I30="",I30&lt;1),"",U15*I30/1000)</f>
      </c>
      <c r="T30" s="138">
        <f t="shared" si="0"/>
      </c>
      <c r="U30" s="139"/>
      <c r="V30" s="113"/>
      <c r="W30" s="114"/>
      <c r="Y30" s="157">
        <f>PI()*O14*(2*F14+E30)/10^6</f>
        <v>0.9816837046273106</v>
      </c>
      <c r="Z30" s="158"/>
      <c r="AA30" s="159">
        <f t="shared" si="1"/>
        <v>53.01092004987477</v>
      </c>
      <c r="AB30" s="160"/>
      <c r="AC30" s="7"/>
      <c r="AD30" s="7"/>
      <c r="AE30" s="7"/>
      <c r="AF30" s="7"/>
      <c r="AG30" s="7"/>
      <c r="AH30" s="7"/>
      <c r="AI30" s="7"/>
    </row>
    <row r="31" spans="1:35" ht="11.25" customHeight="1">
      <c r="A31" s="3">
        <v>29</v>
      </c>
      <c r="B31" s="67">
        <f t="shared" si="3"/>
        <v>8</v>
      </c>
      <c r="C31" s="189">
        <f>C30+Z19</f>
        <v>213.9793167928732</v>
      </c>
      <c r="D31" s="190"/>
      <c r="E31" s="180">
        <f t="shared" si="4"/>
        <v>672.2358496566535</v>
      </c>
      <c r="F31" s="185"/>
      <c r="G31" s="179">
        <f>E31+2*E18</f>
        <v>16738.235849656652</v>
      </c>
      <c r="H31" s="180"/>
      <c r="I31" s="169">
        <f>IF(OR(N31="",N31&lt;1),"",INT(G31/10)*10+G66)</f>
        <v>16930</v>
      </c>
      <c r="J31" s="170"/>
      <c r="K31" s="64">
        <f>IF(OR(L31="",L31&lt;1),"",arrange_tube_SnT(T12,"Plain",O14,0,O16,O17,0,S17,T18,U17,V18,S20,B31,T12/2,0,31))</f>
        <v>56</v>
      </c>
      <c r="L31" s="142">
        <v>55</v>
      </c>
      <c r="M31" s="142"/>
      <c r="N31" s="142">
        <f>SUM(L30:M31)</f>
        <v>109</v>
      </c>
      <c r="O31" s="154"/>
      <c r="P31" s="77">
        <f>IF(OR(L31="",L31&lt;1),"",U15*G31/1000)</f>
        <v>9.278179243222754</v>
      </c>
      <c r="Q31" s="138">
        <f t="shared" si="2"/>
        <v>510.29985837725144</v>
      </c>
      <c r="R31" s="139"/>
      <c r="S31" s="77">
        <f>IF(OR(I31="",I31&lt;1),"",U15*I31/1000)</f>
        <v>9.38447611795262</v>
      </c>
      <c r="T31" s="138">
        <f t="shared" si="0"/>
        <v>1022.9078968568356</v>
      </c>
      <c r="U31" s="139"/>
      <c r="V31" s="113"/>
      <c r="W31" s="114"/>
      <c r="Y31" s="157">
        <f>PI()*O14*(2*F14+E31)/10^6</f>
        <v>0.9858195002927895</v>
      </c>
      <c r="Z31" s="158"/>
      <c r="AA31" s="159">
        <f t="shared" si="1"/>
        <v>54.22007251610342</v>
      </c>
      <c r="AB31" s="160"/>
      <c r="AC31" s="7"/>
      <c r="AD31" s="7"/>
      <c r="AE31" s="7"/>
      <c r="AF31" s="7"/>
      <c r="AG31" s="7"/>
      <c r="AH31" s="7"/>
      <c r="AI31" s="7"/>
    </row>
    <row r="32" spans="1:35" ht="11.25" customHeight="1">
      <c r="A32" s="3">
        <v>30</v>
      </c>
      <c r="B32" s="67">
        <f t="shared" si="3"/>
        <v>9</v>
      </c>
      <c r="C32" s="189">
        <f>C31+Z19</f>
        <v>235.97636204899794</v>
      </c>
      <c r="D32" s="190"/>
      <c r="E32" s="180">
        <f t="shared" si="4"/>
        <v>741.3416054339772</v>
      </c>
      <c r="F32" s="185"/>
      <c r="G32" s="179">
        <f>E32+2*E18</f>
        <v>16807.341605433976</v>
      </c>
      <c r="H32" s="180"/>
      <c r="I32" s="169">
        <f>IF(OR(N32="",N32&lt;1),"",INT(G32/10)*10+G66)</f>
      </c>
      <c r="J32" s="170"/>
      <c r="K32" s="64">
        <f>IF(OR(L32="",L32&lt;1),"",arrange_tube_SnT(T12,"Plain",O14,0,O16,O17,0,S17,T18,U17,V18,S20,B32,T12/2,0,31))</f>
        <v>55</v>
      </c>
      <c r="L32" s="142">
        <v>54</v>
      </c>
      <c r="M32" s="142"/>
      <c r="N32" s="120"/>
      <c r="O32" s="121"/>
      <c r="P32" s="77">
        <f>IF(OR(L32="",L32&lt;1),"",U15*G32/1000)</f>
        <v>9.31648528661941</v>
      </c>
      <c r="Q32" s="138">
        <f t="shared" si="2"/>
        <v>503.0902054774481</v>
      </c>
      <c r="R32" s="139"/>
      <c r="S32" s="77">
        <f>IF(OR(I32="",I32&lt;1),"",U15*I32/1000)</f>
      </c>
      <c r="T32" s="138">
        <f t="shared" si="0"/>
      </c>
      <c r="U32" s="139"/>
      <c r="V32" s="113"/>
      <c r="W32" s="114"/>
      <c r="Y32" s="157">
        <f>PI()*O14*(2*F14+E32)/10^6</f>
        <v>0.9899552959582685</v>
      </c>
      <c r="Z32" s="158"/>
      <c r="AA32" s="159">
        <f t="shared" si="1"/>
        <v>53.4575859817465</v>
      </c>
      <c r="AB32" s="160"/>
      <c r="AC32" s="7"/>
      <c r="AD32" s="7"/>
      <c r="AE32" s="7"/>
      <c r="AF32" s="7"/>
      <c r="AG32" s="7"/>
      <c r="AH32" s="7"/>
      <c r="AI32" s="7"/>
    </row>
    <row r="33" spans="1:35" ht="11.25" customHeight="1">
      <c r="A33" s="3">
        <v>31</v>
      </c>
      <c r="B33" s="68">
        <f t="shared" si="3"/>
        <v>10</v>
      </c>
      <c r="C33" s="194">
        <f>C32+Z19</f>
        <v>257.9734073051227</v>
      </c>
      <c r="D33" s="195"/>
      <c r="E33" s="182">
        <f t="shared" si="4"/>
        <v>810.447361211301</v>
      </c>
      <c r="F33" s="187"/>
      <c r="G33" s="181">
        <f>E33+2*E18</f>
        <v>16876.4473612113</v>
      </c>
      <c r="H33" s="182"/>
      <c r="I33" s="173">
        <f>IF(OR(N33="",N33&lt;1),"",INT(G33/10)*10+G66)</f>
      </c>
      <c r="J33" s="174"/>
      <c r="K33" s="65">
        <f>IF(OR(L33="",L33&lt;1),"",arrange_tube_SnT(T12,"Plain",O14,0,O16,O17,0,S17,T18,U17,V18,S20,B33,T12/2,0,31))</f>
        <v>54</v>
      </c>
      <c r="L33" s="143">
        <v>53</v>
      </c>
      <c r="M33" s="143"/>
      <c r="N33" s="144"/>
      <c r="O33" s="145"/>
      <c r="P33" s="78">
        <f>IF(OR(L33="",L33&lt;1),"",U15*G33/1000)</f>
        <v>9.354791330016061</v>
      </c>
      <c r="Q33" s="146">
        <f t="shared" si="2"/>
        <v>495.80394049085123</v>
      </c>
      <c r="R33" s="147"/>
      <c r="S33" s="80">
        <f>IF(OR(I33="",I33&lt;1),"",U15*I33/1000)</f>
      </c>
      <c r="T33" s="146">
        <f t="shared" si="0"/>
      </c>
      <c r="U33" s="147"/>
      <c r="V33" s="122"/>
      <c r="W33" s="123"/>
      <c r="Y33" s="161">
        <f>PI()*O14*(2*F14+E33)/10^6</f>
        <v>0.9940910916237475</v>
      </c>
      <c r="Z33" s="162"/>
      <c r="AA33" s="163">
        <f t="shared" si="1"/>
        <v>52.68682785605862</v>
      </c>
      <c r="AB33" s="164"/>
      <c r="AC33" s="8"/>
      <c r="AD33" s="8"/>
      <c r="AE33" s="8"/>
      <c r="AF33" s="8"/>
      <c r="AG33" s="8"/>
      <c r="AH33" s="8"/>
      <c r="AI33" s="8"/>
    </row>
    <row r="34" spans="1:35" ht="11.25" customHeight="1">
      <c r="A34" s="3">
        <v>32</v>
      </c>
      <c r="B34" s="69">
        <f t="shared" si="3"/>
        <v>11</v>
      </c>
      <c r="C34" s="196">
        <f>C33+Z19</f>
        <v>279.97045256124744</v>
      </c>
      <c r="D34" s="197"/>
      <c r="E34" s="184">
        <f t="shared" si="4"/>
        <v>879.5531169886247</v>
      </c>
      <c r="F34" s="188"/>
      <c r="G34" s="183">
        <f>E34+2*E18</f>
        <v>16945.553116988624</v>
      </c>
      <c r="H34" s="184"/>
      <c r="I34" s="175">
        <f>IF(OR(N34="",N34&lt;1),"",INT(G34/10)*10+G66)</f>
        <v>17140</v>
      </c>
      <c r="J34" s="176"/>
      <c r="K34" s="70">
        <f>IF(OR(L34="",L34&lt;1),"",arrange_tube_SnT(T12,"Plain",O14,0,O16,O17,0,S17,T18,U17,V18,S20,B34,T12/2,0,31))</f>
        <v>53</v>
      </c>
      <c r="L34" s="155">
        <v>52</v>
      </c>
      <c r="M34" s="155"/>
      <c r="N34" s="155">
        <f>SUM(L32:M34)</f>
        <v>159</v>
      </c>
      <c r="O34" s="156"/>
      <c r="P34" s="79">
        <f>IF(OR(L34="",L34&lt;1),"",U15*G34/1000)</f>
        <v>9.393097373412717</v>
      </c>
      <c r="Q34" s="148">
        <f t="shared" si="2"/>
        <v>488.4410634174613</v>
      </c>
      <c r="R34" s="149"/>
      <c r="S34" s="79">
        <f>IF(OR(I34="",I34&lt;1),"",U15*I34/1000)</f>
        <v>9.500881314926632</v>
      </c>
      <c r="T34" s="148">
        <f t="shared" si="0"/>
        <v>1510.6401290733345</v>
      </c>
      <c r="U34" s="149"/>
      <c r="V34" s="118"/>
      <c r="W34" s="119"/>
      <c r="X34" s="37"/>
      <c r="Y34" s="165">
        <f>PI()*O14*(2*F14+E34)/10^6</f>
        <v>0.9982268872892264</v>
      </c>
      <c r="Z34" s="166"/>
      <c r="AA34" s="167">
        <f t="shared" si="1"/>
        <v>51.90779813903977</v>
      </c>
      <c r="AB34" s="168"/>
      <c r="AC34" s="11"/>
      <c r="AD34" s="11"/>
      <c r="AE34" s="11"/>
      <c r="AF34" s="11"/>
      <c r="AG34" s="11"/>
      <c r="AH34" s="11"/>
      <c r="AI34" s="11"/>
    </row>
    <row r="35" spans="1:35" ht="11.25" customHeight="1">
      <c r="A35" s="3">
        <v>33</v>
      </c>
      <c r="B35" s="67">
        <f t="shared" si="3"/>
        <v>12</v>
      </c>
      <c r="C35" s="189">
        <f>C34+Z19</f>
        <v>301.9674978173722</v>
      </c>
      <c r="D35" s="190"/>
      <c r="E35" s="180">
        <f t="shared" si="4"/>
        <v>948.6588727659483</v>
      </c>
      <c r="F35" s="185"/>
      <c r="G35" s="179">
        <f>E35+2*E18</f>
        <v>17014.658872765947</v>
      </c>
      <c r="H35" s="180"/>
      <c r="I35" s="169">
        <f>IF(OR(N35="",N35&lt;1),"",INT(G35/10)*10+G66)</f>
      </c>
      <c r="J35" s="170"/>
      <c r="K35" s="64">
        <f>IF(OR(L35="",L35&lt;1),"",arrange_tube_SnT(T12,"Plain",O14,0,O16,O17,0,S17,T18,U17,V18,S20,B35,T12/2,0,31))</f>
        <v>54</v>
      </c>
      <c r="L35" s="142">
        <v>51</v>
      </c>
      <c r="M35" s="142"/>
      <c r="N35" s="120"/>
      <c r="O35" s="121"/>
      <c r="P35" s="77">
        <f>IF(OR(L35="",L35&lt;1),"",U15*G35/1000)</f>
        <v>9.43140341680937</v>
      </c>
      <c r="Q35" s="138">
        <f t="shared" si="2"/>
        <v>481.0015742572779</v>
      </c>
      <c r="R35" s="139"/>
      <c r="S35" s="77">
        <f>IF(OR(I35="",I35&lt;1),"",U15*I35/1000)</f>
      </c>
      <c r="T35" s="138">
        <f t="shared" si="0"/>
      </c>
      <c r="U35" s="139"/>
      <c r="V35" s="113"/>
      <c r="W35" s="114"/>
      <c r="X35" s="19"/>
      <c r="Y35" s="157">
        <f>PI()*O14*(2*F14+E35)/10^6</f>
        <v>1.0023626829547054</v>
      </c>
      <c r="Z35" s="158"/>
      <c r="AA35" s="159">
        <f t="shared" si="1"/>
        <v>51.12049683068998</v>
      </c>
      <c r="AB35" s="160"/>
      <c r="AC35" s="7"/>
      <c r="AD35" s="7"/>
      <c r="AE35" s="7"/>
      <c r="AF35" s="7"/>
      <c r="AG35" s="7"/>
      <c r="AH35" s="7"/>
      <c r="AI35" s="7"/>
    </row>
    <row r="36" spans="1:35" ht="11.25" customHeight="1">
      <c r="A36" s="3">
        <v>34</v>
      </c>
      <c r="B36" s="67">
        <f t="shared" si="3"/>
        <v>13</v>
      </c>
      <c r="C36" s="189">
        <f>C35+Z19</f>
        <v>323.96454307349694</v>
      </c>
      <c r="D36" s="190"/>
      <c r="E36" s="180">
        <f t="shared" si="4"/>
        <v>1017.7646285432721</v>
      </c>
      <c r="F36" s="185"/>
      <c r="G36" s="179">
        <f>E36+2*E18</f>
        <v>17083.76462854327</v>
      </c>
      <c r="H36" s="180"/>
      <c r="I36" s="169">
        <f>IF(OR(N36="",N36&lt;1),"",INT(G36/10)*10+G66)</f>
      </c>
      <c r="J36" s="170"/>
      <c r="K36" s="64">
        <f>IF(OR(L36="",L36&lt;1),"",arrange_tube_SnT(T12,"Plain",O14,0,O16,O17,0,S17,T18,U17,V18,S20,B36,T12/2,0,31))</f>
        <v>53</v>
      </c>
      <c r="L36" s="142">
        <v>50</v>
      </c>
      <c r="M36" s="142"/>
      <c r="N36" s="120"/>
      <c r="O36" s="121"/>
      <c r="P36" s="77">
        <f>IF(OR(L36="",L36&lt;1),"",U15*G36/1000)</f>
        <v>9.469709460206026</v>
      </c>
      <c r="Q36" s="138">
        <f t="shared" si="2"/>
        <v>473.4854730103013</v>
      </c>
      <c r="R36" s="139"/>
      <c r="S36" s="77">
        <f>IF(OR(I36="",I36&lt;1),"",U15*I36/1000)</f>
      </c>
      <c r="T36" s="138">
        <f t="shared" si="0"/>
      </c>
      <c r="U36" s="139"/>
      <c r="V36" s="113"/>
      <c r="W36" s="114"/>
      <c r="X36" s="19"/>
      <c r="Y36" s="157">
        <f>PI()*O14*(2*F14+E36)/10^6</f>
        <v>1.0064984786201843</v>
      </c>
      <c r="Z36" s="158"/>
      <c r="AA36" s="159">
        <f t="shared" si="1"/>
        <v>50.32492393100922</v>
      </c>
      <c r="AB36" s="160"/>
      <c r="AC36" s="7"/>
      <c r="AD36" s="7"/>
      <c r="AE36" s="7"/>
      <c r="AF36" s="7"/>
      <c r="AG36" s="7"/>
      <c r="AH36" s="7"/>
      <c r="AI36" s="7"/>
    </row>
    <row r="37" spans="1:35" ht="11.25" customHeight="1">
      <c r="A37" s="3">
        <v>35</v>
      </c>
      <c r="B37" s="67">
        <f t="shared" si="3"/>
        <v>14</v>
      </c>
      <c r="C37" s="189">
        <f>C36+Z19</f>
        <v>345.9615883296217</v>
      </c>
      <c r="D37" s="190"/>
      <c r="E37" s="180">
        <f t="shared" si="4"/>
        <v>1086.8703843205958</v>
      </c>
      <c r="F37" s="185"/>
      <c r="G37" s="179">
        <f>E37+2*E18</f>
        <v>17152.870384320595</v>
      </c>
      <c r="H37" s="180"/>
      <c r="I37" s="169">
        <f>IF(OR(N37="",N37&lt;1),"",INT(G37/10)*10+G66)</f>
        <v>17350</v>
      </c>
      <c r="J37" s="170"/>
      <c r="K37" s="64">
        <f>IF(OR(L37="",L37&lt;1),"",arrange_tube_SnT(T12,"Plain",O14,0,O16,O17,0,S17,T18,U17,V18,S20,B37,T12/2,0,31))</f>
        <v>52</v>
      </c>
      <c r="L37" s="142">
        <v>49</v>
      </c>
      <c r="M37" s="142"/>
      <c r="N37" s="142">
        <f>SUM(L35:M37)</f>
        <v>150</v>
      </c>
      <c r="O37" s="154"/>
      <c r="P37" s="77">
        <f>IF(OR(L37="",L37&lt;1),"",U15*G37/1000)</f>
        <v>9.508015503602682</v>
      </c>
      <c r="Q37" s="138">
        <f t="shared" si="2"/>
        <v>465.8927596765314</v>
      </c>
      <c r="R37" s="139"/>
      <c r="S37" s="77">
        <f>IF(OR(I37="",I37&lt;1),"",U15*I37/1000)</f>
        <v>9.617286511900646</v>
      </c>
      <c r="T37" s="138">
        <f t="shared" si="0"/>
        <v>1442.5929767850969</v>
      </c>
      <c r="U37" s="139"/>
      <c r="V37" s="113"/>
      <c r="W37" s="114"/>
      <c r="X37" s="19"/>
      <c r="Y37" s="157">
        <f>PI()*O14*(2*F14+E37)/10^6</f>
        <v>1.0106342742856633</v>
      </c>
      <c r="Z37" s="158"/>
      <c r="AA37" s="159">
        <f t="shared" si="1"/>
        <v>49.5210794399975</v>
      </c>
      <c r="AB37" s="160"/>
      <c r="AC37" s="7"/>
      <c r="AD37" s="7"/>
      <c r="AE37" s="7"/>
      <c r="AF37" s="7"/>
      <c r="AG37" s="7"/>
      <c r="AH37" s="7"/>
      <c r="AI37" s="7"/>
    </row>
    <row r="38" spans="1:35" ht="11.25" customHeight="1">
      <c r="A38" s="3">
        <v>36</v>
      </c>
      <c r="B38" s="67">
        <f t="shared" si="3"/>
        <v>15</v>
      </c>
      <c r="C38" s="189">
        <f>C37+Z19</f>
        <v>367.95863358574644</v>
      </c>
      <c r="D38" s="190"/>
      <c r="E38" s="180">
        <f t="shared" si="4"/>
        <v>1155.9761400979196</v>
      </c>
      <c r="F38" s="185"/>
      <c r="G38" s="179">
        <f>E38+2*E18</f>
        <v>17221.97614009792</v>
      </c>
      <c r="H38" s="180"/>
      <c r="I38" s="169">
        <f>IF(OR(N38="",N38&lt;1),"",INT(G38/10)*10+G66)</f>
      </c>
      <c r="J38" s="170"/>
      <c r="K38" s="64">
        <f>IF(OR(L38="",L38&lt;1),"",arrange_tube_SnT(T12,"Plain",O14,0,O16,O17,0,S17,T18,U17,V18,S20,B38,T12/2,0,31))</f>
        <v>51</v>
      </c>
      <c r="L38" s="142">
        <v>48</v>
      </c>
      <c r="M38" s="142"/>
      <c r="N38" s="120"/>
      <c r="O38" s="121"/>
      <c r="P38" s="77">
        <f>IF(OR(L38="",L38&lt;1),"",U15*G38/1000)</f>
        <v>9.546321546999335</v>
      </c>
      <c r="Q38" s="138">
        <f t="shared" si="2"/>
        <v>458.2234342559681</v>
      </c>
      <c r="R38" s="139"/>
      <c r="S38" s="77">
        <f>IF(OR(I38="",I38&lt;1),"",U15*I38/1000)</f>
      </c>
      <c r="T38" s="138">
        <f t="shared" si="0"/>
      </c>
      <c r="U38" s="139"/>
      <c r="V38" s="113"/>
      <c r="W38" s="114"/>
      <c r="Y38" s="157">
        <f>PI()*O14*(2*F14+E38)/10^6</f>
        <v>1.0147700699511422</v>
      </c>
      <c r="Z38" s="158"/>
      <c r="AA38" s="159">
        <f t="shared" si="1"/>
        <v>48.708963357654824</v>
      </c>
      <c r="AB38" s="160"/>
      <c r="AC38" s="7"/>
      <c r="AD38" s="7"/>
      <c r="AE38" s="7"/>
      <c r="AF38" s="7"/>
      <c r="AG38" s="7"/>
      <c r="AH38" s="7"/>
      <c r="AI38" s="7"/>
    </row>
    <row r="39" spans="1:35" ht="11.25" customHeight="1">
      <c r="A39" s="3">
        <v>37</v>
      </c>
      <c r="B39" s="67">
        <f t="shared" si="3"/>
        <v>16</v>
      </c>
      <c r="C39" s="189">
        <f>C38+Z19</f>
        <v>389.9556788418712</v>
      </c>
      <c r="D39" s="190"/>
      <c r="E39" s="180">
        <f t="shared" si="4"/>
        <v>1225.0818958752432</v>
      </c>
      <c r="F39" s="185"/>
      <c r="G39" s="179">
        <f>E39+2*E18</f>
        <v>17291.081895875242</v>
      </c>
      <c r="H39" s="180"/>
      <c r="I39" s="169">
        <f>IF(OR(N39="",N39&lt;1),"",INT(G39/10)*10+G66)</f>
      </c>
      <c r="J39" s="170"/>
      <c r="K39" s="64">
        <f>IF(OR(L39="",L39&lt;1),"",arrange_tube_SnT(T12,"Plain",O14,0,O16,O17,0,S17,T18,U17,V18,S20,B39,T12/2,0,31))</f>
        <v>50</v>
      </c>
      <c r="L39" s="142">
        <v>47</v>
      </c>
      <c r="M39" s="142"/>
      <c r="N39" s="120"/>
      <c r="O39" s="121"/>
      <c r="P39" s="77">
        <f>IF(OR(L39="",L39&lt;1),"",U15*G39/1000)</f>
        <v>9.584627590395991</v>
      </c>
      <c r="Q39" s="138">
        <f t="shared" si="2"/>
        <v>450.4774967486116</v>
      </c>
      <c r="R39" s="139"/>
      <c r="S39" s="77">
        <f>IF(OR(I39="",I39&lt;1),"",U15*I39/1000)</f>
      </c>
      <c r="T39" s="138">
        <f t="shared" si="0"/>
      </c>
      <c r="U39" s="139"/>
      <c r="V39" s="113"/>
      <c r="W39" s="114"/>
      <c r="Y39" s="157">
        <f>PI()*O14*(2*F14+E39)/10^6</f>
        <v>1.018905865616621</v>
      </c>
      <c r="Z39" s="158"/>
      <c r="AA39" s="159">
        <f t="shared" si="1"/>
        <v>47.88857568398119</v>
      </c>
      <c r="AB39" s="160"/>
      <c r="AC39" s="7"/>
      <c r="AD39" s="7"/>
      <c r="AE39" s="7"/>
      <c r="AF39" s="7"/>
      <c r="AG39" s="7"/>
      <c r="AH39" s="7"/>
      <c r="AI39" s="7"/>
    </row>
    <row r="40" spans="1:35" ht="11.25" customHeight="1">
      <c r="A40" s="3">
        <v>38</v>
      </c>
      <c r="B40" s="67">
        <f t="shared" si="3"/>
        <v>17</v>
      </c>
      <c r="C40" s="189">
        <f>C39+Z19</f>
        <v>411.95272409799594</v>
      </c>
      <c r="D40" s="190"/>
      <c r="E40" s="180">
        <f t="shared" si="4"/>
        <v>1294.187651652567</v>
      </c>
      <c r="F40" s="185"/>
      <c r="G40" s="179">
        <f>E40+2*E18</f>
        <v>17360.187651652566</v>
      </c>
      <c r="H40" s="180"/>
      <c r="I40" s="169">
        <f>IF(OR(N40="",N40&lt;1),"",INT(G40/10)*10+G66)</f>
      </c>
      <c r="J40" s="170"/>
      <c r="K40" s="64">
        <f>IF(OR(L40="",L40&lt;1),"",arrange_tube_SnT(T12,"Plain",O14,0,O16,O17,0,S17,T18,U17,V18,S20,B40,T12/2,0,31))</f>
        <v>49</v>
      </c>
      <c r="L40" s="142">
        <v>46</v>
      </c>
      <c r="M40" s="142"/>
      <c r="N40" s="120"/>
      <c r="O40" s="121"/>
      <c r="P40" s="77">
        <f>IF(OR(L40="",L40&lt;1),"",U15*G40/1000)</f>
        <v>9.622933633792643</v>
      </c>
      <c r="Q40" s="138">
        <f t="shared" si="2"/>
        <v>442.6549471544616</v>
      </c>
      <c r="R40" s="139"/>
      <c r="S40" s="77">
        <f>IF(OR(I40="",I40&lt;1),"",U15*I40/1000)</f>
      </c>
      <c r="T40" s="138">
        <f t="shared" si="0"/>
      </c>
      <c r="U40" s="139"/>
      <c r="V40" s="113"/>
      <c r="W40" s="114"/>
      <c r="Y40" s="157">
        <f>PI()*O14*(2*F14+E40)/10^6</f>
        <v>1.0230416612821</v>
      </c>
      <c r="Z40" s="158"/>
      <c r="AA40" s="159">
        <f t="shared" si="1"/>
        <v>47.059916418976606</v>
      </c>
      <c r="AB40" s="160"/>
      <c r="AC40" s="7"/>
      <c r="AD40" s="7"/>
      <c r="AE40" s="7"/>
      <c r="AF40" s="7"/>
      <c r="AG40" s="7"/>
      <c r="AH40" s="7"/>
      <c r="AI40" s="7"/>
    </row>
    <row r="41" spans="1:35" ht="11.25" customHeight="1">
      <c r="A41" s="3">
        <v>39</v>
      </c>
      <c r="B41" s="67">
        <f t="shared" si="3"/>
        <v>18</v>
      </c>
      <c r="C41" s="189">
        <f>C40+Z19</f>
        <v>433.9497693541207</v>
      </c>
      <c r="D41" s="190"/>
      <c r="E41" s="180">
        <f t="shared" si="4"/>
        <v>1363.2934074298907</v>
      </c>
      <c r="F41" s="185"/>
      <c r="G41" s="179">
        <f>E41+2*E18</f>
        <v>17429.29340742989</v>
      </c>
      <c r="H41" s="180"/>
      <c r="I41" s="169">
        <f>IF(OR(N41="",N41&lt;1),"",INT(G41/10)*10+G66)</f>
        <v>17620</v>
      </c>
      <c r="J41" s="170"/>
      <c r="K41" s="64">
        <f>IF(OR(L41="",L41&lt;1),"",arrange_tube_SnT(T12,"Plain",O14,0,O16,O17,0,S17,T18,U17,V18,S20,B41,T12/2,0,31))</f>
        <v>48</v>
      </c>
      <c r="L41" s="142">
        <v>45</v>
      </c>
      <c r="M41" s="142"/>
      <c r="N41" s="142">
        <f>SUM(L38:M41)</f>
        <v>186</v>
      </c>
      <c r="O41" s="154"/>
      <c r="P41" s="77">
        <f>IF(OR(L41="",L41&lt;1),"",U15*G41/1000)</f>
        <v>9.661239677189299</v>
      </c>
      <c r="Q41" s="138">
        <f t="shared" si="2"/>
        <v>434.7557854735184</v>
      </c>
      <c r="R41" s="139"/>
      <c r="S41" s="77">
        <f>IF(OR(I41="",I41&lt;1),"",U15*I41/1000)</f>
        <v>9.76695033658152</v>
      </c>
      <c r="T41" s="138">
        <f t="shared" si="0"/>
        <v>1816.6527626041627</v>
      </c>
      <c r="U41" s="139"/>
      <c r="V41" s="113"/>
      <c r="W41" s="114"/>
      <c r="Y41" s="157">
        <f>PI()*O14*(2*F14+E41)/10^6</f>
        <v>1.0271774569475791</v>
      </c>
      <c r="Z41" s="158"/>
      <c r="AA41" s="159">
        <f t="shared" si="1"/>
        <v>46.22298556264106</v>
      </c>
      <c r="AB41" s="160"/>
      <c r="AC41" s="7"/>
      <c r="AD41" s="7"/>
      <c r="AE41" s="7"/>
      <c r="AF41" s="7"/>
      <c r="AG41" s="7"/>
      <c r="AH41" s="7"/>
      <c r="AI41" s="7"/>
    </row>
    <row r="42" spans="1:35" ht="11.25" customHeight="1">
      <c r="A42" s="3">
        <v>40</v>
      </c>
      <c r="B42" s="67">
        <f t="shared" si="3"/>
        <v>19</v>
      </c>
      <c r="C42" s="189">
        <f>C41+Z19</f>
        <v>455.94681461024544</v>
      </c>
      <c r="D42" s="190"/>
      <c r="E42" s="180">
        <f t="shared" si="4"/>
        <v>1432.3991632072143</v>
      </c>
      <c r="F42" s="185"/>
      <c r="G42" s="179">
        <f>E42+2*E18</f>
        <v>17498.399163207214</v>
      </c>
      <c r="H42" s="180"/>
      <c r="I42" s="169">
        <f>IF(OR(N42="",N42&lt;1),"",INT(G42/10)*10+G66)</f>
      </c>
      <c r="J42" s="170"/>
      <c r="K42" s="64">
        <f>IF(OR(L42="",L42&lt;1),"",arrange_tube_SnT(T12,"Plain",O14,0,O16,O17,0,S17,T18,U17,V18,S20,B42,T12/2,0,31))</f>
        <v>45</v>
      </c>
      <c r="L42" s="142">
        <v>44</v>
      </c>
      <c r="M42" s="142"/>
      <c r="N42" s="120"/>
      <c r="O42" s="121"/>
      <c r="P42" s="77">
        <f>IF(OR(L42="",L42&lt;1),"",U15*G42/1000)</f>
        <v>9.699545720585952</v>
      </c>
      <c r="Q42" s="138">
        <f t="shared" si="2"/>
        <v>426.78001170578193</v>
      </c>
      <c r="R42" s="139"/>
      <c r="S42" s="77">
        <f>IF(OR(I42="",I42&lt;1),"",U15*I42/1000)</f>
      </c>
      <c r="T42" s="138">
        <f t="shared" si="0"/>
      </c>
      <c r="U42" s="139"/>
      <c r="V42" s="113"/>
      <c r="W42" s="114"/>
      <c r="Y42" s="157">
        <f>PI()*O14*(2*F14+E42)/10^6</f>
        <v>1.031313252613058</v>
      </c>
      <c r="Z42" s="158"/>
      <c r="AA42" s="159">
        <f t="shared" si="1"/>
        <v>45.37778311497455</v>
      </c>
      <c r="AB42" s="160"/>
      <c r="AC42" s="7"/>
      <c r="AD42" s="7"/>
      <c r="AE42" s="7"/>
      <c r="AF42" s="7"/>
      <c r="AG42" s="7"/>
      <c r="AH42" s="7"/>
      <c r="AI42" s="7"/>
    </row>
    <row r="43" spans="1:35" ht="11.25" customHeight="1">
      <c r="A43" s="3">
        <v>41</v>
      </c>
      <c r="B43" s="68">
        <f t="shared" si="3"/>
        <v>20</v>
      </c>
      <c r="C43" s="194">
        <f>C42+Z19</f>
        <v>477.9438598663702</v>
      </c>
      <c r="D43" s="195"/>
      <c r="E43" s="182">
        <f t="shared" si="4"/>
        <v>1501.504918984538</v>
      </c>
      <c r="F43" s="187"/>
      <c r="G43" s="181">
        <f>E43+2*E18</f>
        <v>17567.504918984538</v>
      </c>
      <c r="H43" s="182"/>
      <c r="I43" s="173">
        <f>IF(OR(N43="",N43&lt;1),"",INT(G43/10)*10+G66)</f>
      </c>
      <c r="J43" s="174"/>
      <c r="K43" s="65">
        <f>IF(OR(L43="",L43&lt;1),"",arrange_tube_SnT(T12,"Plain",O14,0,O16,O17,0,S17,T18,U17,V18,S20,B43,T12/2,0,31))</f>
        <v>44</v>
      </c>
      <c r="L43" s="143">
        <v>41</v>
      </c>
      <c r="M43" s="143"/>
      <c r="N43" s="144"/>
      <c r="O43" s="145"/>
      <c r="P43" s="80">
        <f>IF(OR(L43="",L43&lt;1),"",U15*G43/1000)</f>
        <v>9.737851763982608</v>
      </c>
      <c r="Q43" s="140">
        <f t="shared" si="2"/>
        <v>399.2519223232869</v>
      </c>
      <c r="R43" s="141"/>
      <c r="S43" s="80">
        <f>IF(OR(I43="",I43&lt;1),"",U15*I43/1000)</f>
      </c>
      <c r="T43" s="140">
        <f t="shared" si="0"/>
      </c>
      <c r="U43" s="141"/>
      <c r="V43" s="124"/>
      <c r="W43" s="125"/>
      <c r="Y43" s="161">
        <f>PI()*O14*(2*F14+E43)/10^6</f>
        <v>1.0354490482785368</v>
      </c>
      <c r="Z43" s="162"/>
      <c r="AA43" s="163">
        <f t="shared" si="1"/>
        <v>42.453410979420006</v>
      </c>
      <c r="AB43" s="164"/>
      <c r="AC43" s="8"/>
      <c r="AD43" s="8"/>
      <c r="AE43" s="8"/>
      <c r="AF43" s="8"/>
      <c r="AG43" s="8"/>
      <c r="AH43" s="8"/>
      <c r="AI43" s="8"/>
    </row>
    <row r="44" spans="1:35" ht="11.25" customHeight="1">
      <c r="A44" s="3">
        <v>42</v>
      </c>
      <c r="B44" s="69">
        <f t="shared" si="3"/>
        <v>21</v>
      </c>
      <c r="C44" s="196">
        <f>C43+Z19</f>
        <v>499.94090512249494</v>
      </c>
      <c r="D44" s="197"/>
      <c r="E44" s="184">
        <f t="shared" si="4"/>
        <v>1570.610674761862</v>
      </c>
      <c r="F44" s="188"/>
      <c r="G44" s="183">
        <f>E44+2*E18</f>
        <v>17636.61067476186</v>
      </c>
      <c r="H44" s="184"/>
      <c r="I44" s="175">
        <f>IF(OR(N44="",N44&lt;1),"",INT(G44/10)*10+G66)</f>
      </c>
      <c r="J44" s="176"/>
      <c r="K44" s="70">
        <f>IF(OR(L44="",L44&lt;1),"",arrange_tube_SnT(T12,"Plain",O14,0,O16,O17,0,S17,T18,U17,V18,S20,B44,T12/2,0,31))</f>
        <v>43</v>
      </c>
      <c r="L44" s="155">
        <v>40</v>
      </c>
      <c r="M44" s="155"/>
      <c r="N44" s="152"/>
      <c r="O44" s="153"/>
      <c r="P44" s="76">
        <f>IF(OR(L44="",L44&lt;1),"",U15*G44/1000)</f>
        <v>9.776157807379262</v>
      </c>
      <c r="Q44" s="150">
        <f t="shared" si="2"/>
        <v>391.0463122951705</v>
      </c>
      <c r="R44" s="151"/>
      <c r="S44" s="79">
        <f>IF(OR(I44="",I44&lt;1),"",U15*I44/1000)</f>
      </c>
      <c r="T44" s="150">
        <f t="shared" si="0"/>
      </c>
      <c r="U44" s="151"/>
      <c r="V44" s="126"/>
      <c r="W44" s="127"/>
      <c r="X44" s="37"/>
      <c r="Y44" s="165">
        <f>PI()*O14*(2*F14+E44)/10^6</f>
        <v>1.0395848439440158</v>
      </c>
      <c r="Z44" s="166"/>
      <c r="AA44" s="167">
        <f t="shared" si="1"/>
        <v>41.58339375776063</v>
      </c>
      <c r="AB44" s="168"/>
      <c r="AC44" s="11"/>
      <c r="AD44" s="11"/>
      <c r="AE44" s="11"/>
      <c r="AF44" s="11"/>
      <c r="AG44" s="11"/>
      <c r="AH44" s="11"/>
      <c r="AI44" s="11"/>
    </row>
    <row r="45" spans="1:35" ht="11.25" customHeight="1">
      <c r="A45" s="3">
        <v>43</v>
      </c>
      <c r="B45" s="67">
        <f t="shared" si="3"/>
        <v>22</v>
      </c>
      <c r="C45" s="189">
        <f>C44+Z19</f>
        <v>521.9379503786197</v>
      </c>
      <c r="D45" s="190"/>
      <c r="E45" s="180">
        <f t="shared" si="4"/>
        <v>1639.7164305391857</v>
      </c>
      <c r="F45" s="185"/>
      <c r="G45" s="179">
        <f>E45+2*E18</f>
        <v>17705.716430539185</v>
      </c>
      <c r="H45" s="180"/>
      <c r="I45" s="169">
        <f>IF(OR(N45="",N45&lt;1),"",INT(G45/10)*10+G66)</f>
        <v>17900</v>
      </c>
      <c r="J45" s="170"/>
      <c r="K45" s="64">
        <f>IF(OR(L45="",L45&lt;1),"",arrange_tube_SnT(T12,"Plain",O14,0,O16,O17,0,S17,T18,U17,V18,S20,B45,T12/2,0,31))</f>
        <v>42</v>
      </c>
      <c r="L45" s="142">
        <v>37</v>
      </c>
      <c r="M45" s="142"/>
      <c r="N45" s="142">
        <f>SUM(L42:M45)</f>
        <v>162</v>
      </c>
      <c r="O45" s="154"/>
      <c r="P45" s="77">
        <f>IF(OR(L45="",L45&lt;1),"",U15*G45/1000)</f>
        <v>9.814463850775917</v>
      </c>
      <c r="Q45" s="138">
        <f t="shared" si="2"/>
        <v>363.13516247870893</v>
      </c>
      <c r="R45" s="139"/>
      <c r="S45" s="77">
        <f>IF(OR(I45="",I45&lt;1),"",U15*I45/1000)</f>
        <v>9.922157265880205</v>
      </c>
      <c r="T45" s="138">
        <f t="shared" si="0"/>
        <v>1607.3894770725933</v>
      </c>
      <c r="U45" s="139"/>
      <c r="V45" s="113"/>
      <c r="W45" s="114"/>
      <c r="X45" s="19"/>
      <c r="Y45" s="157">
        <f>PI()*O14*(2*F14+E45)/10^6</f>
        <v>1.043720639609495</v>
      </c>
      <c r="Z45" s="158"/>
      <c r="AA45" s="159">
        <f t="shared" si="1"/>
        <v>38.61766366555131</v>
      </c>
      <c r="AB45" s="160"/>
      <c r="AC45" s="7"/>
      <c r="AD45" s="7"/>
      <c r="AE45" s="7"/>
      <c r="AF45" s="7"/>
      <c r="AG45" s="7"/>
      <c r="AH45" s="7"/>
      <c r="AI45" s="7"/>
    </row>
    <row r="46" spans="1:35" ht="11.25" customHeight="1">
      <c r="A46" s="3">
        <v>44</v>
      </c>
      <c r="B46" s="67">
        <f t="shared" si="3"/>
        <v>23</v>
      </c>
      <c r="C46" s="189">
        <f>C45+Z19</f>
        <v>543.9349956347444</v>
      </c>
      <c r="D46" s="190"/>
      <c r="E46" s="180">
        <f t="shared" si="4"/>
        <v>1708.822186316509</v>
      </c>
      <c r="F46" s="185"/>
      <c r="G46" s="179">
        <f>E46+2*E18</f>
        <v>17774.82218631651</v>
      </c>
      <c r="H46" s="180"/>
      <c r="I46" s="169">
        <f>IF(OR(N46="",N46&lt;1),"",INT(G46/10)*10+G66)</f>
      </c>
      <c r="J46" s="170"/>
      <c r="K46" s="64">
        <f>IF(OR(L46="",L46&lt;1),"",arrange_tube_SnT(T12,"Plain",O14,0,O16,O17,0,S17,T18,U17,V18,S20,B46,T12/2,0,31))</f>
        <v>39</v>
      </c>
      <c r="L46" s="142">
        <v>36</v>
      </c>
      <c r="M46" s="142"/>
      <c r="N46" s="120"/>
      <c r="O46" s="121"/>
      <c r="P46" s="77">
        <f>IF(OR(L46="",L46&lt;1),"",U15*G46/1000)</f>
        <v>9.852769894172573</v>
      </c>
      <c r="Q46" s="138">
        <f t="shared" si="2"/>
        <v>354.6997161902126</v>
      </c>
      <c r="R46" s="139"/>
      <c r="S46" s="77">
        <f>IF(OR(I46="",I46&lt;1),"",U15*I46/1000)</f>
      </c>
      <c r="T46" s="138">
        <f t="shared" si="0"/>
      </c>
      <c r="U46" s="139"/>
      <c r="V46" s="113"/>
      <c r="W46" s="114"/>
      <c r="X46" s="19"/>
      <c r="Y46" s="157">
        <f>PI()*O14*(2*F14+E46)/10^6</f>
        <v>1.0478564352749737</v>
      </c>
      <c r="Z46" s="158"/>
      <c r="AA46" s="159">
        <f t="shared" si="1"/>
        <v>37.72283166989905</v>
      </c>
      <c r="AB46" s="160"/>
      <c r="AC46" s="7"/>
      <c r="AD46" s="7"/>
      <c r="AE46" s="7"/>
      <c r="AF46" s="7"/>
      <c r="AG46" s="7"/>
      <c r="AH46" s="7"/>
      <c r="AI46" s="7"/>
    </row>
    <row r="47" spans="1:35" ht="11.25" customHeight="1">
      <c r="A47" s="3">
        <v>45</v>
      </c>
      <c r="B47" s="67">
        <f t="shared" si="3"/>
        <v>24</v>
      </c>
      <c r="C47" s="189">
        <f>C46+Z19</f>
        <v>565.9320408908691</v>
      </c>
      <c r="D47" s="190"/>
      <c r="E47" s="180">
        <f t="shared" si="4"/>
        <v>1777.9279420938326</v>
      </c>
      <c r="F47" s="185"/>
      <c r="G47" s="179">
        <f>E47+2*E18</f>
        <v>17843.927942093833</v>
      </c>
      <c r="H47" s="180"/>
      <c r="I47" s="169">
        <f>IF(OR(N47="",N47&lt;1),"",INT(G47/10)*10+G66)</f>
      </c>
      <c r="J47" s="170"/>
      <c r="K47" s="64">
        <f>IF(OR(L47="",L47&lt;1),"",arrange_tube_SnT(T12,"Plain",O14,0,O16,O17,0,S17,T18,U17,V18,S20,B47,T12/2,0,31))</f>
        <v>38</v>
      </c>
      <c r="L47" s="142">
        <v>31</v>
      </c>
      <c r="M47" s="142"/>
      <c r="N47" s="120"/>
      <c r="O47" s="121"/>
      <c r="P47" s="77">
        <f>IF(OR(L47="",L47&lt;1),"",U15*G47/1000)</f>
        <v>9.891075937569225</v>
      </c>
      <c r="Q47" s="138">
        <f t="shared" si="2"/>
        <v>306.623354064646</v>
      </c>
      <c r="R47" s="139"/>
      <c r="S47" s="77">
        <f>IF(OR(I47="",I47&lt;1),"",U15*I47/1000)</f>
      </c>
      <c r="T47" s="138">
        <f t="shared" si="0"/>
      </c>
      <c r="U47" s="139"/>
      <c r="V47" s="113"/>
      <c r="W47" s="114"/>
      <c r="X47" s="19"/>
      <c r="Y47" s="157">
        <f>PI()*O14*(2*F14+E47)/10^6</f>
        <v>1.0519922309404528</v>
      </c>
      <c r="Z47" s="158"/>
      <c r="AA47" s="159">
        <f t="shared" si="1"/>
        <v>32.61175915915403</v>
      </c>
      <c r="AB47" s="160"/>
      <c r="AC47" s="7"/>
      <c r="AD47" s="7"/>
      <c r="AE47" s="7"/>
      <c r="AF47" s="7"/>
      <c r="AG47" s="7"/>
      <c r="AH47" s="7"/>
      <c r="AI47" s="7"/>
    </row>
    <row r="48" spans="1:35" ht="11.25" customHeight="1">
      <c r="A48" s="3">
        <v>46</v>
      </c>
      <c r="B48" s="67">
        <f t="shared" si="3"/>
        <v>25</v>
      </c>
      <c r="C48" s="189">
        <f>C47+Z19</f>
        <v>587.9290861469938</v>
      </c>
      <c r="D48" s="190"/>
      <c r="E48" s="180">
        <f t="shared" si="4"/>
        <v>1847.0336978711562</v>
      </c>
      <c r="F48" s="185"/>
      <c r="G48" s="179">
        <f>E48+2*E18</f>
        <v>17913.033697871157</v>
      </c>
      <c r="H48" s="180"/>
      <c r="I48" s="169">
        <f>IF(OR(N48="",N48&lt;1),"",INT(G48/10)*10+G66)</f>
        <v>18110</v>
      </c>
      <c r="J48" s="170"/>
      <c r="K48" s="64">
        <f>IF(OR(L48="",L48&lt;1),"",arrange_tube_SnT(T12,"Plain",O14,0,O16,O17,0,S17,T18,U17,V18,S20,B48,T12/2,0,31))</f>
        <v>35</v>
      </c>
      <c r="L48" s="142">
        <v>30</v>
      </c>
      <c r="M48" s="142"/>
      <c r="N48" s="142">
        <f>SUM(L46:M48)</f>
        <v>97</v>
      </c>
      <c r="O48" s="154"/>
      <c r="P48" s="77">
        <f>IF(OR(L48="",L48&lt;1),"",U15*G48/1000)</f>
        <v>9.92938198096588</v>
      </c>
      <c r="Q48" s="138">
        <f t="shared" si="2"/>
        <v>297.8814594289764</v>
      </c>
      <c r="R48" s="139"/>
      <c r="S48" s="77">
        <f>IF(OR(I48="",I48&lt;1),"",U15*I48/1000)</f>
        <v>10.03856246285422</v>
      </c>
      <c r="T48" s="138">
        <f t="shared" si="0"/>
        <v>973.7405588968593</v>
      </c>
      <c r="U48" s="139"/>
      <c r="V48" s="113">
        <v>20</v>
      </c>
      <c r="W48" s="114"/>
      <c r="X48" s="19"/>
      <c r="Y48" s="157">
        <f>PI()*O14*(2*F14+E48)/10^6</f>
        <v>1.0561280266059316</v>
      </c>
      <c r="Z48" s="158"/>
      <c r="AA48" s="159">
        <f t="shared" si="1"/>
        <v>31.68384079817795</v>
      </c>
      <c r="AB48" s="160"/>
      <c r="AC48" s="7"/>
      <c r="AD48" s="7"/>
      <c r="AE48" s="7"/>
      <c r="AF48" s="7"/>
      <c r="AG48" s="7"/>
      <c r="AH48" s="7"/>
      <c r="AI48" s="7"/>
    </row>
    <row r="49" spans="1:35" ht="11.25" customHeight="1">
      <c r="A49" s="3">
        <v>47</v>
      </c>
      <c r="B49" s="67">
        <f t="shared" si="3"/>
        <v>26</v>
      </c>
      <c r="C49" s="189">
        <f>C48+Z19</f>
        <v>609.9261314031185</v>
      </c>
      <c r="D49" s="190"/>
      <c r="E49" s="180">
        <f t="shared" si="4"/>
        <v>1916.1394536484797</v>
      </c>
      <c r="F49" s="185"/>
      <c r="G49" s="179">
        <f>E49+2*E18</f>
        <v>17982.13945364848</v>
      </c>
      <c r="H49" s="180"/>
      <c r="I49" s="169">
        <f>IF(OR(N49="",N49&lt;1),"",INT(G49/10)*10+G66)</f>
      </c>
      <c r="J49" s="170"/>
      <c r="K49" s="64">
        <f>IF(OR(L49="",L49&lt;1),"",arrange_tube_SnT(T12,"Plain",O14,0,O16,O17,0,S17,T18,U17,V18,S20,B49,T12/2,0,31))</f>
      </c>
      <c r="L49" s="142"/>
      <c r="M49" s="142"/>
      <c r="N49" s="120"/>
      <c r="O49" s="121"/>
      <c r="P49" s="77">
        <f>IF(OR(L49="",L49&lt;1),"",U15*G49/1000)</f>
      </c>
      <c r="Q49" s="138">
        <f t="shared" si="2"/>
      </c>
      <c r="R49" s="139"/>
      <c r="S49" s="77">
        <f>IF(OR(I49="",I49&lt;1),"",U15*I49/1000)</f>
      </c>
      <c r="T49" s="138">
        <f t="shared" si="0"/>
      </c>
      <c r="U49" s="139"/>
      <c r="V49" s="113"/>
      <c r="W49" s="114"/>
      <c r="X49" s="19"/>
      <c r="Y49" s="157">
        <f>PI()*O14*(2*F14+E49)/10^6</f>
        <v>1.0602638222714107</v>
      </c>
      <c r="Z49" s="158"/>
      <c r="AA49" s="159">
        <f t="shared" si="1"/>
        <v>0</v>
      </c>
      <c r="AB49" s="160"/>
      <c r="AC49" s="7"/>
      <c r="AD49" s="7"/>
      <c r="AE49" s="7"/>
      <c r="AF49" s="7"/>
      <c r="AG49" s="7"/>
      <c r="AH49" s="7"/>
      <c r="AI49" s="7"/>
    </row>
    <row r="50" spans="1:35" ht="11.25" customHeight="1">
      <c r="A50" s="3">
        <v>48</v>
      </c>
      <c r="B50" s="67">
        <f t="shared" si="3"/>
        <v>27</v>
      </c>
      <c r="C50" s="189">
        <f>C49+Z19</f>
        <v>631.9231766592432</v>
      </c>
      <c r="D50" s="190"/>
      <c r="E50" s="180">
        <f t="shared" si="4"/>
        <v>1985.2452094258033</v>
      </c>
      <c r="F50" s="185"/>
      <c r="G50" s="179">
        <f>E50+2*E18</f>
        <v>18051.245209425804</v>
      </c>
      <c r="H50" s="180"/>
      <c r="I50" s="169">
        <f>IF(OR(N50="",N50&lt;1),"",INT(G50/10)*10+G66)</f>
      </c>
      <c r="J50" s="170"/>
      <c r="K50" s="64">
        <f>IF(OR(L50="",L50&lt;1),"",arrange_tube_SnT(T12,"Plain",O14,0,O16,O17,0,S17,T18,U17,V18,S20,B50,T12/2,0,31))</f>
      </c>
      <c r="L50" s="142"/>
      <c r="M50" s="142"/>
      <c r="N50" s="120"/>
      <c r="O50" s="121"/>
      <c r="P50" s="77">
        <f>IF(OR(L50="",L50&lt;1),"",U15*G50/1000)</f>
      </c>
      <c r="Q50" s="138">
        <f t="shared" si="2"/>
      </c>
      <c r="R50" s="139"/>
      <c r="S50" s="77">
        <f>IF(OR(I50="",I50&lt;1),"",U15*I50/1000)</f>
      </c>
      <c r="T50" s="138">
        <f t="shared" si="0"/>
      </c>
      <c r="U50" s="139"/>
      <c r="V50" s="113"/>
      <c r="W50" s="114"/>
      <c r="Y50" s="157">
        <f>PI()*O14*(2*F14+E50)/10^6</f>
        <v>1.0643996179368895</v>
      </c>
      <c r="Z50" s="158"/>
      <c r="AA50" s="159">
        <f t="shared" si="1"/>
        <v>0</v>
      </c>
      <c r="AB50" s="160"/>
      <c r="AC50" s="7"/>
      <c r="AD50" s="7"/>
      <c r="AE50" s="7"/>
      <c r="AF50" s="7"/>
      <c r="AG50" s="7"/>
      <c r="AH50" s="7"/>
      <c r="AI50" s="7"/>
    </row>
    <row r="51" spans="1:35" ht="11.25" customHeight="1">
      <c r="A51" s="3">
        <v>49</v>
      </c>
      <c r="B51" s="67">
        <f t="shared" si="3"/>
        <v>28</v>
      </c>
      <c r="C51" s="189">
        <f>C50+Z19</f>
        <v>653.9202219153678</v>
      </c>
      <c r="D51" s="190"/>
      <c r="E51" s="180">
        <f t="shared" si="4"/>
        <v>2054.3509652031266</v>
      </c>
      <c r="F51" s="185"/>
      <c r="G51" s="179">
        <f>E51+2*E18</f>
        <v>18120.350965203128</v>
      </c>
      <c r="H51" s="180"/>
      <c r="I51" s="169">
        <f>IF(OR(N51="",N51&lt;1),"",INT(G51/10)*10+G66)</f>
      </c>
      <c r="J51" s="170"/>
      <c r="K51" s="64">
        <f>IF(OR(L51="",L51&lt;1),"",arrange_tube_SnT(T12,"Plain",O14,0,O16,O17,0,S17,T18,U17,V18,S20,B51,T12/2,0,31))</f>
      </c>
      <c r="L51" s="142"/>
      <c r="M51" s="142"/>
      <c r="N51" s="120"/>
      <c r="O51" s="121"/>
      <c r="P51" s="77">
        <f>IF(OR(L51="",L51&lt;1),"",U15*G51/1000)</f>
      </c>
      <c r="Q51" s="138">
        <f t="shared" si="2"/>
      </c>
      <c r="R51" s="139"/>
      <c r="S51" s="77">
        <f>IF(OR(I51="",I51&lt;1),"",U15*I51/1000)</f>
      </c>
      <c r="T51" s="138">
        <f t="shared" si="0"/>
      </c>
      <c r="U51" s="139"/>
      <c r="V51" s="113"/>
      <c r="W51" s="114"/>
      <c r="Y51" s="157">
        <f>PI()*O14*(2*F14+E51)/10^6</f>
        <v>1.0685354136023684</v>
      </c>
      <c r="Z51" s="158"/>
      <c r="AA51" s="159">
        <f t="shared" si="1"/>
        <v>0</v>
      </c>
      <c r="AB51" s="160"/>
      <c r="AC51" s="7"/>
      <c r="AD51" s="7"/>
      <c r="AE51" s="7"/>
      <c r="AF51" s="7"/>
      <c r="AG51" s="7"/>
      <c r="AH51" s="7"/>
      <c r="AI51" s="7"/>
    </row>
    <row r="52" spans="1:35" ht="11.25" customHeight="1">
      <c r="A52" s="3">
        <v>50</v>
      </c>
      <c r="B52" s="67">
        <f t="shared" si="3"/>
        <v>29</v>
      </c>
      <c r="C52" s="189">
        <f>C51+Z19</f>
        <v>675.9172671714925</v>
      </c>
      <c r="D52" s="190"/>
      <c r="E52" s="180">
        <f t="shared" si="4"/>
        <v>2123.4567209804504</v>
      </c>
      <c r="F52" s="185"/>
      <c r="G52" s="179">
        <f>E52+2*E18</f>
        <v>18189.45672098045</v>
      </c>
      <c r="H52" s="180"/>
      <c r="I52" s="169">
        <f>IF(OR(N52="",N52&lt;1),"",INT(G52/10)*10+G66)</f>
      </c>
      <c r="J52" s="170"/>
      <c r="K52" s="64">
        <f>IF(OR(L52="",L52&lt;1),"",arrange_tube_SnT(T12,"Plain",O14,0,O16,O17,0,S17,T18,U17,V18,S20,B52,T12/2,0,31))</f>
      </c>
      <c r="L52" s="142"/>
      <c r="M52" s="142"/>
      <c r="N52" s="120"/>
      <c r="O52" s="121"/>
      <c r="P52" s="77">
        <f>IF(OR(L52="",L52&lt;1),"",U15*G52/1000)</f>
      </c>
      <c r="Q52" s="138">
        <f t="shared" si="2"/>
      </c>
      <c r="R52" s="139"/>
      <c r="S52" s="77">
        <f>IF(OR(I52="",I52&lt;1),"",U15*I52/1000)</f>
      </c>
      <c r="T52" s="138">
        <f t="shared" si="0"/>
      </c>
      <c r="U52" s="139"/>
      <c r="V52" s="113"/>
      <c r="W52" s="114"/>
      <c r="Y52" s="157">
        <f>PI()*O14*(2*F14+E52)/10^6</f>
        <v>1.0726712092678474</v>
      </c>
      <c r="Z52" s="158"/>
      <c r="AA52" s="159">
        <f t="shared" si="1"/>
        <v>0</v>
      </c>
      <c r="AB52" s="160"/>
      <c r="AC52" s="7"/>
      <c r="AD52" s="7"/>
      <c r="AE52" s="7"/>
      <c r="AF52" s="7"/>
      <c r="AG52" s="7"/>
      <c r="AH52" s="7"/>
      <c r="AI52" s="7"/>
    </row>
    <row r="53" spans="1:35" ht="11.25" customHeight="1">
      <c r="A53" s="3">
        <v>51</v>
      </c>
      <c r="B53" s="68">
        <f t="shared" si="3"/>
        <v>30</v>
      </c>
      <c r="C53" s="194">
        <f>C52+Z19</f>
        <v>697.9143124276172</v>
      </c>
      <c r="D53" s="195"/>
      <c r="E53" s="182">
        <f t="shared" si="4"/>
        <v>2192.5624767577738</v>
      </c>
      <c r="F53" s="187"/>
      <c r="G53" s="181">
        <f>E53+2*E18</f>
        <v>18258.562476757776</v>
      </c>
      <c r="H53" s="182"/>
      <c r="I53" s="173">
        <f>IF(OR(N53="",N53&lt;1),"",INT(G53/10)*10+G66)</f>
      </c>
      <c r="J53" s="174"/>
      <c r="K53" s="65">
        <f>IF(OR(L53="",L53&lt;1),"",arrange_tube_SnT(T12,"Plain",O14,0,O16,O17,0,S17,T18,U17,V18,S20,B53,T12/2,0,31))</f>
      </c>
      <c r="L53" s="143"/>
      <c r="M53" s="143"/>
      <c r="N53" s="144"/>
      <c r="O53" s="145"/>
      <c r="P53" s="78">
        <f>IF(OR(L53="",L53&lt;1),"",U15*G53/1000)</f>
      </c>
      <c r="Q53" s="146">
        <f t="shared" si="2"/>
      </c>
      <c r="R53" s="147"/>
      <c r="S53" s="80">
        <f>IF(OR(I53="",I53&lt;1),"",U15*I53/1000)</f>
      </c>
      <c r="T53" s="146">
        <f t="shared" si="0"/>
      </c>
      <c r="U53" s="147"/>
      <c r="V53" s="122"/>
      <c r="W53" s="123"/>
      <c r="Y53" s="161">
        <f>PI()*O14*(2*F14+E53)/10^6</f>
        <v>1.0768070049333263</v>
      </c>
      <c r="Z53" s="162"/>
      <c r="AA53" s="163">
        <f t="shared" si="1"/>
        <v>0</v>
      </c>
      <c r="AB53" s="164"/>
      <c r="AC53" s="8"/>
      <c r="AD53" s="8"/>
      <c r="AE53" s="8"/>
      <c r="AF53" s="8"/>
      <c r="AG53" s="8"/>
      <c r="AH53" s="8"/>
      <c r="AI53" s="8"/>
    </row>
    <row r="54" spans="1:35" ht="11.25" customHeight="1">
      <c r="A54" s="3">
        <v>52</v>
      </c>
      <c r="B54" s="69">
        <f t="shared" si="3"/>
        <v>31</v>
      </c>
      <c r="C54" s="196">
        <f>C53+Z19</f>
        <v>719.9113576837419</v>
      </c>
      <c r="D54" s="197"/>
      <c r="E54" s="184">
        <f t="shared" si="4"/>
        <v>2261.6682325350976</v>
      </c>
      <c r="F54" s="188"/>
      <c r="G54" s="183">
        <f>E54+2*E18</f>
        <v>18327.6682325351</v>
      </c>
      <c r="H54" s="184"/>
      <c r="I54" s="175">
        <f>IF(OR(N54="",N54&lt;1),"",INT(G54/10)*10+G66)</f>
      </c>
      <c r="J54" s="176"/>
      <c r="K54" s="70">
        <f>IF(OR(L54="",L54&lt;1),"",arrange_tube_SnT(T12,"Plain",O14,0,O16,O17,0,S17,T18,U17,V18,S20,B54,T12/2,0,31))</f>
      </c>
      <c r="L54" s="155"/>
      <c r="M54" s="155"/>
      <c r="N54" s="152"/>
      <c r="O54" s="153"/>
      <c r="P54" s="79">
        <f>IF(OR(L54="",L54&lt;1),"",U15*G54/1000)</f>
      </c>
      <c r="Q54" s="148">
        <f t="shared" si="2"/>
      </c>
      <c r="R54" s="149"/>
      <c r="S54" s="79">
        <f>IF(OR(I54="",I54&lt;1),"",U15*I54/1000)</f>
      </c>
      <c r="T54" s="148">
        <f t="shared" si="0"/>
      </c>
      <c r="U54" s="149"/>
      <c r="V54" s="118"/>
      <c r="W54" s="119"/>
      <c r="X54" s="37"/>
      <c r="Y54" s="165">
        <f>PI()*O14*(2*F14+E54)/10^6</f>
        <v>1.0809428005988053</v>
      </c>
      <c r="Z54" s="166"/>
      <c r="AA54" s="167">
        <f t="shared" si="1"/>
        <v>0</v>
      </c>
      <c r="AB54" s="168"/>
      <c r="AC54" s="11"/>
      <c r="AD54" s="11"/>
      <c r="AE54" s="11"/>
      <c r="AF54" s="11"/>
      <c r="AG54" s="11"/>
      <c r="AH54" s="11"/>
      <c r="AI54" s="11"/>
    </row>
    <row r="55" spans="1:35" ht="11.25" customHeight="1">
      <c r="A55" s="3">
        <v>53</v>
      </c>
      <c r="B55" s="67">
        <f t="shared" si="3"/>
        <v>32</v>
      </c>
      <c r="C55" s="189">
        <f>C54+Z19</f>
        <v>741.9084029398666</v>
      </c>
      <c r="D55" s="190"/>
      <c r="E55" s="180">
        <f t="shared" si="4"/>
        <v>2330.773988312421</v>
      </c>
      <c r="F55" s="185"/>
      <c r="G55" s="179">
        <f>E55+2*E18</f>
        <v>18396.77398831242</v>
      </c>
      <c r="H55" s="180"/>
      <c r="I55" s="169">
        <f>IF(OR(N55="",N55&lt;1),"",INT(G55/10)*10+G66)</f>
      </c>
      <c r="J55" s="170"/>
      <c r="K55" s="64">
        <f>IF(OR(L55="",L55&lt;1),"",arrange_tube_SnT(T12,"Plain",O14,0,O16,O17,0,S17,T18,U17,V18,S20,B55,T12/2,0,31))</f>
      </c>
      <c r="L55" s="142"/>
      <c r="M55" s="142"/>
      <c r="N55" s="120"/>
      <c r="O55" s="121"/>
      <c r="P55" s="77">
        <f>IF(OR(L55="",L55&lt;1),"",U15*G55/1000)</f>
      </c>
      <c r="Q55" s="138">
        <f t="shared" si="2"/>
      </c>
      <c r="R55" s="139"/>
      <c r="S55" s="77">
        <f>IF(OR(I55="",I55&lt;1),"",U15*I55/1000)</f>
      </c>
      <c r="T55" s="138">
        <f t="shared" si="0"/>
      </c>
      <c r="U55" s="139"/>
      <c r="V55" s="113"/>
      <c r="W55" s="114"/>
      <c r="X55" s="19"/>
      <c r="Y55" s="157">
        <f>PI()*O14*(2*F14+E55)/10^6</f>
        <v>1.0850785962642842</v>
      </c>
      <c r="Z55" s="158"/>
      <c r="AA55" s="159">
        <f t="shared" si="1"/>
        <v>0</v>
      </c>
      <c r="AB55" s="160"/>
      <c r="AC55" s="7"/>
      <c r="AD55" s="7"/>
      <c r="AE55" s="7"/>
      <c r="AF55" s="7"/>
      <c r="AG55" s="7"/>
      <c r="AH55" s="7"/>
      <c r="AI55" s="7"/>
    </row>
    <row r="56" spans="1:35" ht="11.25" customHeight="1">
      <c r="A56" s="3">
        <v>54</v>
      </c>
      <c r="B56" s="67">
        <f t="shared" si="3"/>
        <v>33</v>
      </c>
      <c r="C56" s="189">
        <f>C55+Z19</f>
        <v>763.9054481959913</v>
      </c>
      <c r="D56" s="190"/>
      <c r="E56" s="180">
        <f t="shared" si="4"/>
        <v>2399.8797440897447</v>
      </c>
      <c r="F56" s="185"/>
      <c r="G56" s="179">
        <f>E56+2*E18</f>
        <v>18465.879744089743</v>
      </c>
      <c r="H56" s="180"/>
      <c r="I56" s="169">
        <f>IF(OR(N56="",N56&lt;1),"",INT(G56/10)*10+G66)</f>
      </c>
      <c r="J56" s="170"/>
      <c r="K56" s="64">
        <f>IF(OR(L56="",L56&lt;1),"",arrange_tube_SnT(T12,"Plain",O14,0,O16,O17,0,S17,T18,U17,V18,S20,B56,T12/2,0,31))</f>
      </c>
      <c r="L56" s="142"/>
      <c r="M56" s="142"/>
      <c r="N56" s="120"/>
      <c r="O56" s="121"/>
      <c r="P56" s="77">
        <f>IF(OR(L56="",L56&lt;1),"",U15*G56/1000)</f>
      </c>
      <c r="Q56" s="138">
        <f t="shared" si="2"/>
      </c>
      <c r="R56" s="139"/>
      <c r="S56" s="77">
        <f>IF(OR(I56="",I56&lt;1),"",U15*I56/1000)</f>
      </c>
      <c r="T56" s="138">
        <f t="shared" si="0"/>
      </c>
      <c r="U56" s="139"/>
      <c r="V56" s="113"/>
      <c r="W56" s="114"/>
      <c r="X56" s="19"/>
      <c r="Y56" s="157">
        <f>PI()*O14*(2*F14+E56)/10^6</f>
        <v>1.089214391929763</v>
      </c>
      <c r="Z56" s="158"/>
      <c r="AA56" s="159">
        <f t="shared" si="1"/>
        <v>0</v>
      </c>
      <c r="AB56" s="160"/>
      <c r="AC56" s="7"/>
      <c r="AD56" s="7"/>
      <c r="AE56" s="7"/>
      <c r="AF56" s="7"/>
      <c r="AG56" s="7"/>
      <c r="AH56" s="7"/>
      <c r="AI56" s="7"/>
    </row>
    <row r="57" spans="1:35" ht="11.25" customHeight="1">
      <c r="A57" s="3">
        <v>55</v>
      </c>
      <c r="B57" s="67">
        <f t="shared" si="3"/>
        <v>34</v>
      </c>
      <c r="C57" s="189">
        <f>C56+Z19</f>
        <v>785.902493452116</v>
      </c>
      <c r="D57" s="190"/>
      <c r="E57" s="180">
        <f t="shared" si="4"/>
        <v>2468.985499867068</v>
      </c>
      <c r="F57" s="185"/>
      <c r="G57" s="179">
        <f>E57+2*E18</f>
        <v>18534.985499867067</v>
      </c>
      <c r="H57" s="180"/>
      <c r="I57" s="169">
        <f>IF(OR(N57="",N57&lt;1),"",INT(G57/10)*10+G66)</f>
      </c>
      <c r="J57" s="170"/>
      <c r="K57" s="64">
        <f>IF(OR(L57="",L57&lt;1),"",arrange_tube_SnT(T12,"Plain",O14,0,O16,O17,0,S17,T18,U17,V18,S20,B57,T12/2,0,31))</f>
      </c>
      <c r="L57" s="142"/>
      <c r="M57" s="142"/>
      <c r="N57" s="120"/>
      <c r="O57" s="121"/>
      <c r="P57" s="77">
        <f>IF(OR(L57="",L57&lt;1),"",U15*G57/1000)</f>
      </c>
      <c r="Q57" s="138">
        <f t="shared" si="2"/>
      </c>
      <c r="R57" s="139"/>
      <c r="S57" s="77">
        <f>IF(OR(I57="",I57&lt;1),"",U15*I57/1000)</f>
      </c>
      <c r="T57" s="138">
        <f t="shared" si="0"/>
      </c>
      <c r="U57" s="139"/>
      <c r="V57" s="113"/>
      <c r="W57" s="114"/>
      <c r="Y57" s="157">
        <f>PI()*O14*(2*F14+E57)/10^6</f>
        <v>1.0933501875952418</v>
      </c>
      <c r="Z57" s="158"/>
      <c r="AA57" s="159">
        <f t="shared" si="1"/>
        <v>0</v>
      </c>
      <c r="AB57" s="160"/>
      <c r="AC57" s="7"/>
      <c r="AD57" s="7"/>
      <c r="AE57" s="7"/>
      <c r="AF57" s="7"/>
      <c r="AG57" s="7"/>
      <c r="AH57" s="7"/>
      <c r="AI57" s="7"/>
    </row>
    <row r="58" spans="1:35" ht="11.25" customHeight="1">
      <c r="A58" s="3">
        <v>56</v>
      </c>
      <c r="B58" s="67">
        <f t="shared" si="3"/>
        <v>35</v>
      </c>
      <c r="C58" s="189">
        <f>C57+Z19</f>
        <v>807.8995387082407</v>
      </c>
      <c r="D58" s="190"/>
      <c r="E58" s="180">
        <f t="shared" si="4"/>
        <v>2538.091255644392</v>
      </c>
      <c r="F58" s="185"/>
      <c r="G58" s="179">
        <f>E58+2*E18</f>
        <v>18604.09125564439</v>
      </c>
      <c r="H58" s="180"/>
      <c r="I58" s="169">
        <f>IF(OR(N58="",N58&lt;1),"",INT(G58/10)*10+G66)</f>
      </c>
      <c r="J58" s="170"/>
      <c r="K58" s="64">
        <f>IF(OR(L58="",L58&lt;1),"",arrange_tube_SnT(T12,"Plain",O14,0,O16,O17,0,S17,T18,U17,V18,S20,B58,T12/2,0,31))</f>
      </c>
      <c r="L58" s="142"/>
      <c r="M58" s="142"/>
      <c r="N58" s="120"/>
      <c r="O58" s="121"/>
      <c r="P58" s="77">
        <f>IF(OR(L58="",L58&lt;1),"",U15*G58/1000)</f>
      </c>
      <c r="Q58" s="138">
        <f t="shared" si="2"/>
      </c>
      <c r="R58" s="139"/>
      <c r="S58" s="77">
        <f>IF(OR(I58="",I58&lt;1),"",U15*I58/1000)</f>
      </c>
      <c r="T58" s="138">
        <f t="shared" si="0"/>
      </c>
      <c r="U58" s="139"/>
      <c r="V58" s="113"/>
      <c r="W58" s="114"/>
      <c r="Y58" s="157">
        <f>PI()*O14*(2*F14+E58)/10^6</f>
        <v>1.0974859832607209</v>
      </c>
      <c r="Z58" s="158"/>
      <c r="AA58" s="159">
        <f t="shared" si="1"/>
        <v>0</v>
      </c>
      <c r="AB58" s="160"/>
      <c r="AC58" s="7"/>
      <c r="AD58" s="7"/>
      <c r="AE58" s="7"/>
      <c r="AF58" s="7"/>
      <c r="AG58" s="7"/>
      <c r="AH58" s="7"/>
      <c r="AI58" s="7"/>
    </row>
    <row r="59" spans="1:35" ht="11.25" customHeight="1">
      <c r="A59" s="3">
        <v>57</v>
      </c>
      <c r="B59" s="67">
        <f t="shared" si="3"/>
        <v>36</v>
      </c>
      <c r="C59" s="189">
        <f>C58+Z19</f>
        <v>829.8965839643654</v>
      </c>
      <c r="D59" s="190"/>
      <c r="E59" s="180">
        <f t="shared" si="4"/>
        <v>2607.197011421715</v>
      </c>
      <c r="F59" s="185"/>
      <c r="G59" s="179">
        <f>E59+2*E18</f>
        <v>18673.197011421715</v>
      </c>
      <c r="H59" s="180"/>
      <c r="I59" s="169">
        <f>IF(OR(N59="",N59&lt;1),"",INT(G59/10)*10+G66)</f>
      </c>
      <c r="J59" s="170"/>
      <c r="K59" s="64">
        <f>IF(OR(L59="",L59&lt;1),"",arrange_tube_SnT(T12,"Plain",O14,0,O16,O17,0,S17,T18,U17,V18,S20,B59,T12/2,0,31))</f>
      </c>
      <c r="L59" s="142"/>
      <c r="M59" s="142"/>
      <c r="N59" s="120"/>
      <c r="O59" s="121"/>
      <c r="P59" s="77">
        <f>IF(OR(L59="",L59&lt;1),"",U15*G59/1000)</f>
      </c>
      <c r="Q59" s="138">
        <f t="shared" si="2"/>
      </c>
      <c r="R59" s="139"/>
      <c r="S59" s="77">
        <f>IF(OR(I59="",I59&lt;1),"",U15*I59/1000)</f>
      </c>
      <c r="T59" s="138">
        <f t="shared" si="0"/>
      </c>
      <c r="U59" s="139"/>
      <c r="V59" s="113"/>
      <c r="W59" s="114"/>
      <c r="Y59" s="157">
        <f>PI()*O14*(2*F14+E59)/10^6</f>
        <v>1.1016217789261997</v>
      </c>
      <c r="Z59" s="158"/>
      <c r="AA59" s="159">
        <f t="shared" si="1"/>
        <v>0</v>
      </c>
      <c r="AB59" s="160"/>
      <c r="AC59" s="7"/>
      <c r="AD59" s="7"/>
      <c r="AE59" s="7"/>
      <c r="AF59" s="7"/>
      <c r="AG59" s="7"/>
      <c r="AH59" s="7"/>
      <c r="AI59" s="7"/>
    </row>
    <row r="60" spans="1:35" ht="11.25" customHeight="1">
      <c r="A60" s="3">
        <v>58</v>
      </c>
      <c r="B60" s="68">
        <f t="shared" si="3"/>
        <v>37</v>
      </c>
      <c r="C60" s="191">
        <f>C59+Z19</f>
        <v>851.8936292204901</v>
      </c>
      <c r="D60" s="192"/>
      <c r="E60" s="178">
        <f t="shared" si="4"/>
        <v>2676.302767199039</v>
      </c>
      <c r="F60" s="186"/>
      <c r="G60" s="177">
        <f>E60+2*E18</f>
        <v>18742.30276719904</v>
      </c>
      <c r="H60" s="178"/>
      <c r="I60" s="171">
        <f>IF(OR(N60="",N60&lt;1),"",INT(G60/10)*10+G66)</f>
      </c>
      <c r="J60" s="172"/>
      <c r="K60" s="65">
        <f>IF(OR(L60="",L60&lt;1),"",arrange_tube_SnT(T12,"Plain",O14,0,O16,O17,0,S17,T18,U17,V18,S20,B60,T12/2,0,31))</f>
      </c>
      <c r="L60" s="143"/>
      <c r="M60" s="143"/>
      <c r="N60" s="144"/>
      <c r="O60" s="145"/>
      <c r="P60" s="80">
        <f>IF(OR(L60="",L60&lt;1),"",U15*G60/1000)</f>
      </c>
      <c r="Q60" s="140">
        <f t="shared" si="2"/>
      </c>
      <c r="R60" s="141"/>
      <c r="S60" s="80">
        <f>IF(OR(I60="",I60&lt;1),"",U15*I60/1000)</f>
      </c>
      <c r="T60" s="140">
        <f t="shared" si="0"/>
      </c>
      <c r="U60" s="141"/>
      <c r="V60" s="113"/>
      <c r="W60" s="114"/>
      <c r="X60" s="19"/>
      <c r="Y60" s="161">
        <f>PI()*O14*(2*F14+E60)/10^6</f>
        <v>1.1057575745916788</v>
      </c>
      <c r="Z60" s="162"/>
      <c r="AA60" s="163">
        <f t="shared" si="1"/>
        <v>0</v>
      </c>
      <c r="AB60" s="164"/>
      <c r="AC60" s="8"/>
      <c r="AD60" s="8"/>
      <c r="AE60" s="8"/>
      <c r="AF60" s="8"/>
      <c r="AG60" s="8"/>
      <c r="AH60" s="8"/>
      <c r="AI60" s="8"/>
    </row>
    <row r="61" spans="1:35" ht="11.25" customHeight="1">
      <c r="A61" s="3">
        <v>59</v>
      </c>
      <c r="B61" s="136" t="s">
        <v>112</v>
      </c>
      <c r="C61" s="104"/>
      <c r="D61" s="104"/>
      <c r="E61" s="104"/>
      <c r="F61" s="42"/>
      <c r="G61" s="42"/>
      <c r="H61" s="42"/>
      <c r="I61" s="42"/>
      <c r="J61" s="42"/>
      <c r="K61" s="89">
        <f>SUM(K24:K60)</f>
        <v>1263</v>
      </c>
      <c r="L61" s="109">
        <f>SUM(L24:M60)</f>
        <v>1200</v>
      </c>
      <c r="M61" s="117"/>
      <c r="N61" s="109">
        <f>SUM(N24:O60)</f>
        <v>1200</v>
      </c>
      <c r="O61" s="110"/>
      <c r="P61" s="92"/>
      <c r="Q61" s="109">
        <f>SUM(Q24:R60)</f>
        <v>11311.018848620228</v>
      </c>
      <c r="R61" s="110"/>
      <c r="S61" s="92"/>
      <c r="T61" s="109">
        <f>SUM(T24:U60)</f>
        <v>11485.90033719216</v>
      </c>
      <c r="U61" s="110"/>
      <c r="V61" s="132">
        <f>(T61/Q61-1)*100</f>
        <v>1.5461161449064953</v>
      </c>
      <c r="W61" s="134" t="s">
        <v>109</v>
      </c>
      <c r="X61" s="19"/>
      <c r="Y61" s="32"/>
      <c r="Z61" s="32"/>
      <c r="AA61" s="128">
        <f>SUM(AA24:AB60)</f>
        <v>1202.1155910998532</v>
      </c>
      <c r="AB61" s="129"/>
      <c r="AC61" s="32"/>
      <c r="AD61" s="32"/>
      <c r="AE61" s="32"/>
      <c r="AF61" s="32"/>
      <c r="AG61" s="32"/>
      <c r="AH61" s="32"/>
      <c r="AI61" s="32"/>
    </row>
    <row r="62" spans="1:35" ht="11.25" customHeight="1">
      <c r="A62" s="16">
        <v>60</v>
      </c>
      <c r="B62" s="103"/>
      <c r="C62" s="137"/>
      <c r="D62" s="137"/>
      <c r="E62" s="137"/>
      <c r="F62" s="38"/>
      <c r="G62" s="38"/>
      <c r="H62" s="38"/>
      <c r="I62" s="38"/>
      <c r="J62" s="38"/>
      <c r="K62" s="90"/>
      <c r="L62" s="87"/>
      <c r="M62" s="91" t="s">
        <v>113</v>
      </c>
      <c r="N62" s="111">
        <f>N61+SUM(V24:W60)</f>
        <v>1220</v>
      </c>
      <c r="O62" s="112"/>
      <c r="P62" s="93"/>
      <c r="Q62" s="115"/>
      <c r="R62" s="116"/>
      <c r="S62" s="93"/>
      <c r="T62" s="115"/>
      <c r="U62" s="116"/>
      <c r="V62" s="133"/>
      <c r="W62" s="135"/>
      <c r="X62" s="19"/>
      <c r="Y62" s="81"/>
      <c r="Z62" s="81"/>
      <c r="AA62" s="130"/>
      <c r="AB62" s="131"/>
      <c r="AC62" s="31"/>
      <c r="AD62" s="31"/>
      <c r="AE62" s="31"/>
      <c r="AF62" s="31"/>
      <c r="AG62" s="31"/>
      <c r="AH62" s="31"/>
      <c r="AI62" s="31"/>
    </row>
    <row r="63" spans="1:35" ht="11.25" customHeight="1">
      <c r="A63" s="3">
        <v>61</v>
      </c>
      <c r="B63" s="136" t="str">
        <f>" Total for "&amp;F9*K9&amp;" Shells"</f>
        <v> Total for 2 Shells</v>
      </c>
      <c r="C63" s="104"/>
      <c r="D63" s="104"/>
      <c r="E63" s="104"/>
      <c r="F63" s="42"/>
      <c r="G63" s="42"/>
      <c r="H63" s="42"/>
      <c r="I63" s="42"/>
      <c r="J63" s="42"/>
      <c r="K63" s="82"/>
      <c r="L63" s="83"/>
      <c r="M63" s="84"/>
      <c r="N63" s="109">
        <f>N61*F9*K9</f>
        <v>2400</v>
      </c>
      <c r="O63" s="110"/>
      <c r="P63" s="92"/>
      <c r="Q63" s="83"/>
      <c r="R63" s="85"/>
      <c r="S63" s="92"/>
      <c r="T63" s="109"/>
      <c r="U63" s="110"/>
      <c r="V63" s="94"/>
      <c r="W63" s="95"/>
      <c r="Y63" s="32"/>
      <c r="Z63" s="32"/>
      <c r="AA63" s="32"/>
      <c r="AB63" s="47"/>
      <c r="AC63" s="32"/>
      <c r="AD63" s="32"/>
      <c r="AE63" s="32"/>
      <c r="AF63" s="32"/>
      <c r="AG63" s="32"/>
      <c r="AH63" s="32"/>
      <c r="AI63" s="32"/>
    </row>
    <row r="64" spans="1:35" ht="11.25" customHeight="1">
      <c r="A64" s="3">
        <v>62</v>
      </c>
      <c r="B64" s="105"/>
      <c r="C64" s="106"/>
      <c r="D64" s="106"/>
      <c r="E64" s="106"/>
      <c r="F64" s="38"/>
      <c r="G64" s="38"/>
      <c r="H64" s="38"/>
      <c r="I64" s="38"/>
      <c r="J64" s="38"/>
      <c r="K64" s="86"/>
      <c r="L64" s="87"/>
      <c r="M64" s="91" t="s">
        <v>110</v>
      </c>
      <c r="N64" s="111">
        <f>N62*F9*K9</f>
        <v>2440</v>
      </c>
      <c r="O64" s="112"/>
      <c r="P64" s="93"/>
      <c r="Q64" s="87"/>
      <c r="R64" s="88"/>
      <c r="S64" s="93"/>
      <c r="T64" s="115"/>
      <c r="U64" s="116"/>
      <c r="V64" s="96"/>
      <c r="W64" s="97"/>
      <c r="Y64" s="48"/>
      <c r="Z64" s="48"/>
      <c r="AA64" s="48"/>
      <c r="AB64" s="49"/>
      <c r="AC64" s="48"/>
      <c r="AD64" s="48"/>
      <c r="AE64" s="48"/>
      <c r="AF64" s="48"/>
      <c r="AG64" s="48"/>
      <c r="AH64" s="48"/>
      <c r="AI64" s="48"/>
    </row>
    <row r="65" spans="1:23" ht="11.25" customHeight="1">
      <c r="A65" s="3">
        <v>63</v>
      </c>
      <c r="B65" s="14" t="s">
        <v>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5"/>
    </row>
    <row r="66" spans="1:23" ht="11.25" customHeight="1">
      <c r="A66" s="3">
        <v>64</v>
      </c>
      <c r="B66" s="20" t="s">
        <v>9</v>
      </c>
      <c r="C66" s="73" t="s">
        <v>101</v>
      </c>
      <c r="D66" s="7"/>
      <c r="E66" s="7"/>
      <c r="F66" s="7"/>
      <c r="G66" s="35">
        <v>200</v>
      </c>
      <c r="H66" s="7" t="s">
        <v>102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"/>
    </row>
    <row r="67" spans="1:23" ht="11.25" customHeight="1">
      <c r="A67" s="3">
        <v>65</v>
      </c>
      <c r="B67" s="20" t="s">
        <v>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"/>
    </row>
    <row r="68" spans="1:23" ht="11.25" customHeight="1">
      <c r="A68" s="3">
        <v>66</v>
      </c>
      <c r="B68" s="20" t="s">
        <v>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"/>
    </row>
    <row r="69" spans="1:23" ht="11.25" customHeight="1">
      <c r="A69" s="3">
        <v>67</v>
      </c>
      <c r="B69" s="21" t="s">
        <v>107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</row>
    <row r="70" spans="2:23" ht="11.25" customHeight="1">
      <c r="B70" s="24" t="s">
        <v>199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V70" s="19"/>
      <c r="W70" s="102" t="s">
        <v>207</v>
      </c>
    </row>
  </sheetData>
  <mergeCells count="458">
    <mergeCell ref="B1:W2"/>
    <mergeCell ref="V22:W23"/>
    <mergeCell ref="T23:U23"/>
    <mergeCell ref="G22:J22"/>
    <mergeCell ref="P22:U22"/>
    <mergeCell ref="N23:O23"/>
    <mergeCell ref="K22:O22"/>
    <mergeCell ref="Q23:R23"/>
    <mergeCell ref="S17:T17"/>
    <mergeCell ref="I23:J23"/>
    <mergeCell ref="Y22:AB22"/>
    <mergeCell ref="Y23:Z23"/>
    <mergeCell ref="AA23:AB23"/>
    <mergeCell ref="AK15:AK16"/>
    <mergeCell ref="L23:M23"/>
    <mergeCell ref="Q25:R25"/>
    <mergeCell ref="N25:O25"/>
    <mergeCell ref="L24:M24"/>
    <mergeCell ref="L25:M25"/>
    <mergeCell ref="Q24:R24"/>
    <mergeCell ref="C24:D24"/>
    <mergeCell ref="C25:D25"/>
    <mergeCell ref="C26:D26"/>
    <mergeCell ref="N24:O24"/>
    <mergeCell ref="L26:M26"/>
    <mergeCell ref="N26:O26"/>
    <mergeCell ref="C22:D22"/>
    <mergeCell ref="E22:F22"/>
    <mergeCell ref="G23:H23"/>
    <mergeCell ref="C23:D23"/>
    <mergeCell ref="E23:F23"/>
    <mergeCell ref="B21:W21"/>
    <mergeCell ref="O17:P17"/>
    <mergeCell ref="O18:P18"/>
    <mergeCell ref="T7:W7"/>
    <mergeCell ref="U17:V17"/>
    <mergeCell ref="T12:U12"/>
    <mergeCell ref="S20:T20"/>
    <mergeCell ref="E18:G18"/>
    <mergeCell ref="O14:P14"/>
    <mergeCell ref="O15:P15"/>
    <mergeCell ref="T3:W3"/>
    <mergeCell ref="T4:W4"/>
    <mergeCell ref="T5:W5"/>
    <mergeCell ref="F14:G14"/>
    <mergeCell ref="G8:H8"/>
    <mergeCell ref="K8:L8"/>
    <mergeCell ref="B10:W10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Z19:AA19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I24:J24"/>
    <mergeCell ref="I25:J25"/>
    <mergeCell ref="Q27:R27"/>
    <mergeCell ref="Q28:R28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T24:U24"/>
    <mergeCell ref="T25:U25"/>
    <mergeCell ref="T27:U27"/>
    <mergeCell ref="T28:U28"/>
    <mergeCell ref="T29:U29"/>
    <mergeCell ref="T30:U30"/>
    <mergeCell ref="T31:U31"/>
    <mergeCell ref="Y24:Z24"/>
    <mergeCell ref="Y25:Z25"/>
    <mergeCell ref="AA24:AB24"/>
    <mergeCell ref="AA25:AB25"/>
    <mergeCell ref="Y26:Z26"/>
    <mergeCell ref="AA26:AB26"/>
    <mergeCell ref="T26:U26"/>
    <mergeCell ref="Q26:R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Y27:Z27"/>
    <mergeCell ref="AA27:AB27"/>
    <mergeCell ref="Y28:Z28"/>
    <mergeCell ref="AA28:AB28"/>
    <mergeCell ref="Y29:Z29"/>
    <mergeCell ref="AA29:AB29"/>
    <mergeCell ref="Y30:Z30"/>
    <mergeCell ref="AA30:AB30"/>
    <mergeCell ref="Y31:Z31"/>
    <mergeCell ref="AA31:AB31"/>
    <mergeCell ref="Y32:Z32"/>
    <mergeCell ref="AA32:AB32"/>
    <mergeCell ref="Y33:Z33"/>
    <mergeCell ref="AA33:AB33"/>
    <mergeCell ref="Y34:Z34"/>
    <mergeCell ref="AA34:AB34"/>
    <mergeCell ref="Y35:Z35"/>
    <mergeCell ref="AA35:AB35"/>
    <mergeCell ref="Y36:Z36"/>
    <mergeCell ref="AA36:AB36"/>
    <mergeCell ref="Y37:Z37"/>
    <mergeCell ref="AA37:AB37"/>
    <mergeCell ref="Y38:Z38"/>
    <mergeCell ref="AA38:AB38"/>
    <mergeCell ref="Y39:Z39"/>
    <mergeCell ref="AA39:AB39"/>
    <mergeCell ref="Y40:Z40"/>
    <mergeCell ref="AA40:AB40"/>
    <mergeCell ref="Y41:Z41"/>
    <mergeCell ref="AA41:AB41"/>
    <mergeCell ref="Y42:Z42"/>
    <mergeCell ref="AA42:AB42"/>
    <mergeCell ref="Y43:Z43"/>
    <mergeCell ref="AA43:AB43"/>
    <mergeCell ref="Y44:Z44"/>
    <mergeCell ref="AA44:AB44"/>
    <mergeCell ref="Y45:Z45"/>
    <mergeCell ref="AA45:AB45"/>
    <mergeCell ref="Y46:Z46"/>
    <mergeCell ref="AA46:AB46"/>
    <mergeCell ref="Y47:Z47"/>
    <mergeCell ref="AA47:AB47"/>
    <mergeCell ref="Y48:Z48"/>
    <mergeCell ref="AA48:AB48"/>
    <mergeCell ref="Y49:Z49"/>
    <mergeCell ref="AA49:AB49"/>
    <mergeCell ref="Y50:Z50"/>
    <mergeCell ref="AA50:AB50"/>
    <mergeCell ref="AA54:AB54"/>
    <mergeCell ref="Y51:Z51"/>
    <mergeCell ref="AA51:AB51"/>
    <mergeCell ref="Y52:Z52"/>
    <mergeCell ref="AA52:AB52"/>
    <mergeCell ref="Y60:Z60"/>
    <mergeCell ref="AA60:AB60"/>
    <mergeCell ref="Y57:Z57"/>
    <mergeCell ref="AA57:AB57"/>
    <mergeCell ref="Y58:Z58"/>
    <mergeCell ref="AA58:AB58"/>
    <mergeCell ref="V28:W28"/>
    <mergeCell ref="Y59:Z59"/>
    <mergeCell ref="AA59:AB59"/>
    <mergeCell ref="Y55:Z55"/>
    <mergeCell ref="AA55:AB55"/>
    <mergeCell ref="Y56:Z56"/>
    <mergeCell ref="AA56:AB56"/>
    <mergeCell ref="Y53:Z53"/>
    <mergeCell ref="AA53:AB53"/>
    <mergeCell ref="Y54:Z54"/>
    <mergeCell ref="N27:O27"/>
    <mergeCell ref="N28:O28"/>
    <mergeCell ref="N29:O29"/>
    <mergeCell ref="N35:O35"/>
    <mergeCell ref="N30:O30"/>
    <mergeCell ref="N31:O31"/>
    <mergeCell ref="N32:O32"/>
    <mergeCell ref="N33:O33"/>
    <mergeCell ref="N34:O34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7:O57"/>
    <mergeCell ref="N51:O51"/>
    <mergeCell ref="N52:O52"/>
    <mergeCell ref="N53:O53"/>
    <mergeCell ref="N54:O54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7:U57"/>
    <mergeCell ref="T50:U50"/>
    <mergeCell ref="T51:U51"/>
    <mergeCell ref="T52:U52"/>
    <mergeCell ref="T53:U53"/>
    <mergeCell ref="T54:U54"/>
    <mergeCell ref="T55:U55"/>
    <mergeCell ref="T56:U56"/>
    <mergeCell ref="V24:W24"/>
    <mergeCell ref="V25:W25"/>
    <mergeCell ref="V26:W26"/>
    <mergeCell ref="V27:W27"/>
    <mergeCell ref="B63:E64"/>
    <mergeCell ref="B61:E62"/>
    <mergeCell ref="T58:U58"/>
    <mergeCell ref="T59:U59"/>
    <mergeCell ref="T60:U60"/>
    <mergeCell ref="L59:M59"/>
    <mergeCell ref="L60:M60"/>
    <mergeCell ref="Q60:R60"/>
    <mergeCell ref="N59:O59"/>
    <mergeCell ref="N60:O60"/>
    <mergeCell ref="AA61:AB62"/>
    <mergeCell ref="T63:U64"/>
    <mergeCell ref="V61:V62"/>
    <mergeCell ref="W61:W62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9:W49"/>
    <mergeCell ref="V48:W48"/>
    <mergeCell ref="V50:W50"/>
    <mergeCell ref="V51:W51"/>
    <mergeCell ref="V52:W52"/>
    <mergeCell ref="V53:W53"/>
    <mergeCell ref="L61:M61"/>
    <mergeCell ref="N61:O61"/>
    <mergeCell ref="V54:W54"/>
    <mergeCell ref="V55:W55"/>
    <mergeCell ref="V56:W56"/>
    <mergeCell ref="V57:W57"/>
    <mergeCell ref="T61:U62"/>
    <mergeCell ref="N62:O62"/>
    <mergeCell ref="N55:O55"/>
    <mergeCell ref="N56:O56"/>
    <mergeCell ref="N63:O63"/>
    <mergeCell ref="N64:O64"/>
    <mergeCell ref="V58:W58"/>
    <mergeCell ref="V59:W59"/>
    <mergeCell ref="V60:W60"/>
    <mergeCell ref="Q61:R62"/>
    <mergeCell ref="N58:O58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71"/>
  <sheetViews>
    <sheetView tabSelected="1" zoomScaleSheetLayoutView="100" workbookViewId="0" topLeftCell="A1">
      <selection activeCell="R9" sqref="R9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3" ht="11.25" customHeight="1">
      <c r="B1" s="229" t="s">
        <v>114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1"/>
    </row>
    <row r="2" spans="2:23" ht="11.25" customHeight="1"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spans="1:23" ht="11.25" customHeight="1">
      <c r="A3" s="3">
        <v>1</v>
      </c>
      <c r="B3" s="4" t="s">
        <v>115</v>
      </c>
      <c r="C3" s="5"/>
      <c r="D3" s="5"/>
      <c r="E3" s="98" t="s">
        <v>190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8" t="s">
        <v>194</v>
      </c>
      <c r="S3" s="5"/>
      <c r="T3" s="198" t="s">
        <v>195</v>
      </c>
      <c r="U3" s="198"/>
      <c r="V3" s="198"/>
      <c r="W3" s="199"/>
    </row>
    <row r="4" spans="1:23" ht="11.25" customHeight="1">
      <c r="A4" s="3">
        <v>2</v>
      </c>
      <c r="B4" s="6" t="s">
        <v>116</v>
      </c>
      <c r="C4" s="7"/>
      <c r="D4" s="7"/>
      <c r="E4" s="99" t="s">
        <v>191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117</v>
      </c>
      <c r="S4" s="7"/>
      <c r="T4" s="200" t="s">
        <v>118</v>
      </c>
      <c r="U4" s="200"/>
      <c r="V4" s="200"/>
      <c r="W4" s="201"/>
    </row>
    <row r="5" spans="1:34" ht="11.25" customHeight="1">
      <c r="A5" s="3">
        <v>3</v>
      </c>
      <c r="B5" s="6" t="s">
        <v>119</v>
      </c>
      <c r="C5" s="7"/>
      <c r="D5" s="7"/>
      <c r="E5" s="99" t="s">
        <v>192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120</v>
      </c>
      <c r="S5" s="7"/>
      <c r="T5" s="202" t="s">
        <v>196</v>
      </c>
      <c r="U5" s="202"/>
      <c r="V5" s="202"/>
      <c r="W5" s="114"/>
      <c r="AH5" s="60"/>
    </row>
    <row r="6" spans="1:23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5" t="s">
        <v>121</v>
      </c>
      <c r="S6" s="25"/>
      <c r="T6" s="26">
        <v>0</v>
      </c>
      <c r="U6" s="27"/>
      <c r="V6" s="27"/>
      <c r="W6" s="28"/>
    </row>
    <row r="7" spans="1:23" ht="11.25" customHeight="1">
      <c r="A7" s="3">
        <v>5</v>
      </c>
      <c r="B7" s="10" t="s">
        <v>122</v>
      </c>
      <c r="C7" s="11"/>
      <c r="D7" s="11"/>
      <c r="E7" s="22" t="s">
        <v>193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123</v>
      </c>
      <c r="S7" s="11"/>
      <c r="T7" s="251" t="s">
        <v>197</v>
      </c>
      <c r="U7" s="251"/>
      <c r="V7" s="251"/>
      <c r="W7" s="252"/>
    </row>
    <row r="8" spans="1:23" ht="11.25" customHeight="1">
      <c r="A8" s="3">
        <v>6</v>
      </c>
      <c r="B8" s="6" t="s">
        <v>124</v>
      </c>
      <c r="C8" s="7"/>
      <c r="D8" s="7"/>
      <c r="E8" s="7" t="s">
        <v>125</v>
      </c>
      <c r="F8" s="7"/>
      <c r="G8" s="204">
        <f>AA61</f>
        <v>536.7479336877602</v>
      </c>
      <c r="H8" s="200"/>
      <c r="I8" s="7"/>
      <c r="J8" s="7" t="s">
        <v>126</v>
      </c>
      <c r="K8" s="204">
        <f>G8+PI()*O14*E17*L61*2/10^6</f>
        <v>542.2419195044315</v>
      </c>
      <c r="L8" s="204"/>
      <c r="M8" s="7" t="s">
        <v>127</v>
      </c>
      <c r="N8" s="7"/>
      <c r="O8" s="7"/>
      <c r="P8" s="7"/>
      <c r="Q8" s="7"/>
      <c r="R8" s="8"/>
      <c r="S8" s="8"/>
      <c r="T8" s="8"/>
      <c r="U8" s="8"/>
      <c r="V8" s="8"/>
      <c r="W8" s="12"/>
    </row>
    <row r="9" spans="1:23" ht="11.25" customHeight="1">
      <c r="A9" s="3">
        <v>7</v>
      </c>
      <c r="B9" s="9" t="s">
        <v>128</v>
      </c>
      <c r="C9" s="8"/>
      <c r="D9" s="8"/>
      <c r="E9" s="8"/>
      <c r="F9" s="46">
        <v>1</v>
      </c>
      <c r="G9" s="8"/>
      <c r="H9" s="8" t="s">
        <v>129</v>
      </c>
      <c r="I9" s="8"/>
      <c r="J9" s="8"/>
      <c r="K9" s="46">
        <v>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2"/>
    </row>
    <row r="10" spans="1:37" ht="11.25" customHeight="1">
      <c r="A10" s="3">
        <v>8</v>
      </c>
      <c r="B10" s="205" t="s">
        <v>130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50"/>
      <c r="AE10" s="62" t="s">
        <v>131</v>
      </c>
      <c r="AF10" s="58"/>
      <c r="AG10" s="61" t="s">
        <v>132</v>
      </c>
      <c r="AK10" s="58"/>
    </row>
    <row r="11" spans="1:33" ht="11.25" customHeight="1">
      <c r="A11" s="3">
        <v>9</v>
      </c>
      <c r="B11" s="36"/>
      <c r="C11" s="19"/>
      <c r="D11" s="19"/>
      <c r="E11" s="19"/>
      <c r="F11" s="19"/>
      <c r="G11" s="19"/>
      <c r="H11" s="19"/>
      <c r="I11" s="19"/>
      <c r="J11" s="19"/>
      <c r="K11" s="11"/>
      <c r="L11" s="29" t="s">
        <v>133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15"/>
      <c r="AE11" s="3">
        <f>arrange_tube_SnT(T12,"Plain",O14,0,O16,O17,0,S17,T18,U17,V18,S20,0,0,0,48)</f>
        <v>1299.1635465749441</v>
      </c>
      <c r="AF11" s="3"/>
      <c r="AG11" s="3">
        <f>arrange_tube_SnT(T12,"Plain",O14,0,O16,O17,0,S17,T18,U17,V18,S20,0,AG12,0*IF(E20&lt;&gt;"U-tube",1,2),6)</f>
        <v>282.0119892253576</v>
      </c>
    </row>
    <row r="12" spans="1:37" ht="11.25" customHeight="1">
      <c r="A12" s="3">
        <v>10</v>
      </c>
      <c r="B12" s="36"/>
      <c r="C12" s="19"/>
      <c r="D12" s="19"/>
      <c r="E12" s="19"/>
      <c r="F12" s="19"/>
      <c r="G12" s="19"/>
      <c r="H12" s="19"/>
      <c r="I12" s="19"/>
      <c r="J12" s="19"/>
      <c r="K12" s="7"/>
      <c r="L12" s="7" t="s">
        <v>134</v>
      </c>
      <c r="M12" s="7"/>
      <c r="N12" s="7"/>
      <c r="O12" s="7" t="s">
        <v>44</v>
      </c>
      <c r="P12" s="7"/>
      <c r="Q12" s="7"/>
      <c r="R12" s="7"/>
      <c r="S12" s="7" t="s">
        <v>135</v>
      </c>
      <c r="T12" s="209">
        <v>1300</v>
      </c>
      <c r="U12" s="209"/>
      <c r="V12" s="7"/>
      <c r="W12" s="1"/>
      <c r="AD12" s="56" t="s">
        <v>136</v>
      </c>
      <c r="AE12" s="59">
        <f>arrange_tube_SnT(T12,"Plain",O14,0,O16,O17,0,S17,T18,U17,V18,S20,0,0,0,46)</f>
        <v>645.742473063394</v>
      </c>
      <c r="AF12" s="3">
        <f>arrange_tube_SnT(T12,"Plain",O14,0,O16,O17,0,S17,T18,U17,V18,S20,0,0,AF15*IF(E20&lt;&gt;"U-tube",1,2),-6)</f>
        <v>306.26068814789335</v>
      </c>
      <c r="AG12" s="43">
        <v>306</v>
      </c>
      <c r="AH12" s="59">
        <f>arrange_tube_SnT(T12,"Plain",O14,0,O16,O17,0,S17,T18,U17,V18,S20,AH13,0,0*IF(E20&lt;&gt;"U-tube",1,2),36)</f>
        <v>306.26068814789335</v>
      </c>
      <c r="AK12" s="58"/>
    </row>
    <row r="13" spans="1:38" ht="11.25" customHeight="1">
      <c r="A13" s="3">
        <v>11</v>
      </c>
      <c r="B13" s="36"/>
      <c r="C13" s="19"/>
      <c r="D13" s="19"/>
      <c r="E13" s="19"/>
      <c r="F13" s="19"/>
      <c r="G13" s="19"/>
      <c r="H13" s="33" t="s">
        <v>137</v>
      </c>
      <c r="I13" s="19"/>
      <c r="J13" s="19"/>
      <c r="K13" s="7"/>
      <c r="L13" s="7" t="s">
        <v>138</v>
      </c>
      <c r="M13" s="7"/>
      <c r="N13" s="7"/>
      <c r="O13" s="7" t="s">
        <v>198</v>
      </c>
      <c r="P13" s="7"/>
      <c r="Q13" s="7"/>
      <c r="R13" s="7"/>
      <c r="S13" s="7"/>
      <c r="T13" s="7"/>
      <c r="U13" s="7"/>
      <c r="V13" s="7"/>
      <c r="W13" s="1"/>
      <c r="Y13" s="2" t="s">
        <v>139</v>
      </c>
      <c r="Z13" s="44">
        <f>mindex(O13,-1)</f>
        <v>7.85</v>
      </c>
      <c r="AD13" s="56" t="s">
        <v>140</v>
      </c>
      <c r="AE13" s="3">
        <f>arrange_tube_SnT(T12,"Plain",O14,0,O16,O17,0,S17,T18,U17,V18,S20,0,0,0,40)</f>
        <v>26</v>
      </c>
      <c r="AF13" s="3">
        <f>arrange_tube_SnT(T12,"Plain",O14,0,O16,O17,0,S17,T18,U17,V18,S20,0,0,AF15*IF(E20&lt;&gt;"U-tube",1,2),-10)</f>
        <v>12</v>
      </c>
      <c r="AG13" s="3">
        <f>arrange_tube_SnT(T12,"Plain",O14,0,O16,O17,0,S17,T18,U17,V18,S20,0,AG12,0*IF(E20&lt;&gt;"U-tube",1,2),0)</f>
        <v>11</v>
      </c>
      <c r="AH13" s="43">
        <v>12</v>
      </c>
      <c r="AK13" s="56">
        <f>arrange_tube_SnT(T12,"Plain",O14,0,O16,O17,0,S17,T18,U17,V18,S20,AK17,T12/2,0,14)</f>
        <v>24.24869892253576</v>
      </c>
      <c r="AL13" s="2" t="s">
        <v>141</v>
      </c>
    </row>
    <row r="14" spans="1:38" ht="11.25" customHeight="1">
      <c r="A14" s="3">
        <v>12</v>
      </c>
      <c r="B14" s="36"/>
      <c r="C14" s="19"/>
      <c r="D14" s="19"/>
      <c r="E14" s="33" t="s">
        <v>142</v>
      </c>
      <c r="F14" s="203">
        <v>8500</v>
      </c>
      <c r="G14" s="203"/>
      <c r="I14" s="19"/>
      <c r="J14" s="19"/>
      <c r="K14" s="7"/>
      <c r="L14" s="7" t="s">
        <v>143</v>
      </c>
      <c r="M14" s="7"/>
      <c r="N14" s="7"/>
      <c r="O14" s="202">
        <v>19.05</v>
      </c>
      <c r="P14" s="202"/>
      <c r="Q14" s="7"/>
      <c r="R14" s="7"/>
      <c r="S14" s="7"/>
      <c r="T14" s="7"/>
      <c r="U14" s="7"/>
      <c r="V14" s="7"/>
      <c r="W14" s="1"/>
      <c r="AD14" s="56" t="s">
        <v>144</v>
      </c>
      <c r="AE14" s="3">
        <f>arrange_tube_SnT(T12,"Plain",O14,0,O16,O17,0,S17,T18,U17,V18,S20,0,0,0,41)</f>
        <v>6</v>
      </c>
      <c r="AF14" s="3">
        <f>arrange_tube_SnT(T12,"Plain",O14,0,O16,O17,0,S17,T18,U17,V18,S20,0,0,AF15*IF(E20&lt;&gt;"U-tube",1,2),-1)</f>
        <v>40</v>
      </c>
      <c r="AG14" s="3">
        <f>arrange_tube_SnT(T12,"Plain",O14,0,O16,O17,0,S17,T18,U17,V18,S20,0,AG12,0*IF(E20&lt;&gt;"U-tube",1,2),1)</f>
        <v>41</v>
      </c>
      <c r="AH14" s="3">
        <f>arrange_tube_SnT(T12,"Plain",O14,0,O16,O17,0,S17,T18,U17,V18,S20,AH13,0,0*IF(E20&lt;&gt;"U-tube",1,2),31)</f>
        <v>40</v>
      </c>
      <c r="AJ14" s="59">
        <f>arrange_tube_SnT(T12,"Plain",O14,0,O16,O17,0,S17,T18,U17,V18,S20,AK17,T12/2,0,11)</f>
        <v>0</v>
      </c>
      <c r="AK14" s="56">
        <f>arrange_tube_SnT(T12,"Plain",O14,0,O16,O17,0,S17,T18,U17,V18,S20,AK17,T12/2,0,13)</f>
        <v>28</v>
      </c>
      <c r="AL14" s="57" t="s">
        <v>145</v>
      </c>
    </row>
    <row r="15" spans="1:37" ht="11.25" customHeight="1">
      <c r="A15" s="3">
        <v>13</v>
      </c>
      <c r="B15" s="36"/>
      <c r="C15" s="19"/>
      <c r="D15" s="19"/>
      <c r="E15" s="19"/>
      <c r="F15" s="19"/>
      <c r="G15" s="19"/>
      <c r="H15" s="19"/>
      <c r="I15" s="19"/>
      <c r="J15" s="19"/>
      <c r="K15" s="7"/>
      <c r="L15" s="7" t="s">
        <v>146</v>
      </c>
      <c r="M15" s="7"/>
      <c r="N15" s="34" t="s">
        <v>46</v>
      </c>
      <c r="O15" s="202">
        <v>2.11</v>
      </c>
      <c r="P15" s="202"/>
      <c r="R15" s="7"/>
      <c r="S15" s="7" t="s">
        <v>147</v>
      </c>
      <c r="T15" s="53"/>
      <c r="U15" s="7">
        <f>PI()/4*(O14^2-(O14-2*Z15)^2)*1000/10^9*Z13*1000</f>
        <v>0.8814859424064229</v>
      </c>
      <c r="V15" s="7" t="s">
        <v>148</v>
      </c>
      <c r="W15" s="1"/>
      <c r="Y15" s="56" t="s">
        <v>149</v>
      </c>
      <c r="Z15" s="44">
        <f>O15*IF(N15&lt;&gt;"Min.",1,1+AA15/100)</f>
        <v>2.11</v>
      </c>
      <c r="AA15" s="43">
        <v>10</v>
      </c>
      <c r="AB15" s="2" t="s">
        <v>150</v>
      </c>
      <c r="AD15" s="56" t="s">
        <v>151</v>
      </c>
      <c r="AE15" s="3">
        <f>arrange_tube_SnT(T12,"Plain",O14,0,O16,O17,0,S17,T18,U17,V18,S20,0,0,0,42)/IF(E20&lt;&gt;"U-tube",1,2)</f>
        <v>913</v>
      </c>
      <c r="AF15" s="43">
        <v>510</v>
      </c>
      <c r="AG15" s="3">
        <f>arrange_tube_SnT(T12,"Plain",O14,0,O16,O17,0,S17,T18,U17,V18,S20,0,AG12,0*IF(E20&lt;&gt;"U-tube",1,2),2)/IF(E20&lt;&gt;"U-tube",1,2)</f>
        <v>484</v>
      </c>
      <c r="AH15" s="3">
        <f>arrange_tube_SnT(T12,"Plain",O14,0,O16,O17,0,S17,T18,U17,V18,S20,AH13,0,0*IF(E20&lt;&gt;"U-tube",1,2),32)/IF(E20&lt;&gt;"U-tube",1,2)</f>
        <v>524</v>
      </c>
      <c r="AK15" s="228">
        <f>arrange_tube_SnT(T12,"Plain",O14,0,O16,O17,0,S17,T18,U17,V18,S20,AK17,T12/2,0,12)</f>
        <v>30</v>
      </c>
    </row>
    <row r="16" spans="1:37" ht="11.25" customHeight="1">
      <c r="A16" s="3">
        <v>14</v>
      </c>
      <c r="B16" s="36"/>
      <c r="C16" s="33" t="s">
        <v>152</v>
      </c>
      <c r="D16" s="19"/>
      <c r="E16" s="19"/>
      <c r="F16" s="19"/>
      <c r="G16" s="19"/>
      <c r="H16" s="19"/>
      <c r="I16" s="19"/>
      <c r="J16" s="19"/>
      <c r="K16" s="7"/>
      <c r="L16" s="7" t="s">
        <v>153</v>
      </c>
      <c r="M16" s="7"/>
      <c r="N16" s="7"/>
      <c r="O16" s="7" t="s">
        <v>53</v>
      </c>
      <c r="P16" s="7"/>
      <c r="Q16" s="7"/>
      <c r="R16" s="7"/>
      <c r="S16" s="40" t="s">
        <v>154</v>
      </c>
      <c r="T16" s="7"/>
      <c r="U16" s="7"/>
      <c r="V16" s="7"/>
      <c r="W16" s="1"/>
      <c r="AE16" s="56" t="s">
        <v>155</v>
      </c>
      <c r="AF16" s="2">
        <f>arrange_tube_SnT(T12,"Plain",O14,0,O16,O17,0,S17,T18,U17,V18,S20,0,0,AF15*IF(E20&lt;&gt;"U-tube",1,2),-2)/IF(E20&lt;&gt;"U-tube",1,2)</f>
        <v>524</v>
      </c>
      <c r="AI16" s="57"/>
      <c r="AK16" s="228"/>
    </row>
    <row r="17" spans="1:37" ht="11.25" customHeight="1">
      <c r="A17" s="3">
        <v>15</v>
      </c>
      <c r="B17" s="36"/>
      <c r="C17" s="41">
        <v>3</v>
      </c>
      <c r="D17" s="19"/>
      <c r="E17" s="41">
        <v>90</v>
      </c>
      <c r="F17" s="19" t="s">
        <v>156</v>
      </c>
      <c r="G17" s="39"/>
      <c r="H17" s="19"/>
      <c r="I17" s="19"/>
      <c r="J17" s="19"/>
      <c r="K17" s="7"/>
      <c r="L17" s="7" t="s">
        <v>157</v>
      </c>
      <c r="M17" s="7"/>
      <c r="N17" s="7"/>
      <c r="O17" s="202">
        <v>28</v>
      </c>
      <c r="P17" s="202"/>
      <c r="Q17" s="7"/>
      <c r="R17" s="7"/>
      <c r="S17" s="200" t="s">
        <v>75</v>
      </c>
      <c r="T17" s="200"/>
      <c r="U17" s="200" t="s">
        <v>96</v>
      </c>
      <c r="V17" s="200"/>
      <c r="W17" s="1"/>
      <c r="Y17" s="54" t="s">
        <v>158</v>
      </c>
      <c r="Z17" s="19"/>
      <c r="AA17" s="19"/>
      <c r="AB17" s="19"/>
      <c r="AC17" s="19"/>
      <c r="AD17" s="19"/>
      <c r="AE17" s="56" t="s">
        <v>159</v>
      </c>
      <c r="AF17" s="3">
        <f>arrange_tube_SnT(T12,"Plain",O14,0,O16,O17,0,S17,T18,U17,V18,S20,0,0,AF15*IF(E20&lt;&gt;"U-tube",1,2),-7)</f>
        <v>0.2807880554204228</v>
      </c>
      <c r="AG17" s="3">
        <f>arrange_tube_SnT(T12,"Plain",O14,0,O16,O17,0,S17,T18,U17,V18,S20,0,AG12,0*IF(E20&lt;&gt;"U-tube",1,2),7)</f>
        <v>0.3088965627576203</v>
      </c>
      <c r="AH17" s="3">
        <f>arrange_tube_SnT(T12,"Plain",O14,0,O16,O17,0,S17,T18,U17,V18,S20,AH13,0,0*IF(E20&lt;&gt;"U-tube",1,2),37)</f>
        <v>0.2807880554204228</v>
      </c>
      <c r="AJ17" s="56" t="s">
        <v>140</v>
      </c>
      <c r="AK17" s="71">
        <v>1</v>
      </c>
    </row>
    <row r="18" spans="1:37" ht="11.25" customHeight="1">
      <c r="A18" s="3">
        <v>16</v>
      </c>
      <c r="B18" s="36"/>
      <c r="C18" s="19"/>
      <c r="D18" s="19"/>
      <c r="E18" s="211">
        <f>F14+E17+C17</f>
        <v>8593</v>
      </c>
      <c r="F18" s="212"/>
      <c r="G18" s="212"/>
      <c r="H18" s="19"/>
      <c r="I18" s="19"/>
      <c r="J18" s="19"/>
      <c r="K18" s="7"/>
      <c r="L18" s="7" t="s">
        <v>160</v>
      </c>
      <c r="M18" s="7"/>
      <c r="N18" s="7"/>
      <c r="O18" s="207">
        <f>O17/O14</f>
        <v>1.4698162729658792</v>
      </c>
      <c r="P18" s="207"/>
      <c r="Q18" s="7"/>
      <c r="R18" s="7"/>
      <c r="S18" s="34" t="s">
        <v>161</v>
      </c>
      <c r="T18" s="35">
        <v>0</v>
      </c>
      <c r="U18" s="34" t="s">
        <v>162</v>
      </c>
      <c r="V18" s="35">
        <v>30</v>
      </c>
      <c r="W18" s="1"/>
      <c r="Y18" s="16">
        <f>IF(O16="Triangular",SIN(60/180*PI()),IF(O16="Rotated Triangular",COS(60/180*PI()),IF(O16="Square",1,IF(O16="Rotated Square",COS(45/180*PI())))))</f>
        <v>0.8660254037844386</v>
      </c>
      <c r="Z18" s="16" t="s">
        <v>163</v>
      </c>
      <c r="AA18" s="16">
        <f>O17</f>
        <v>28</v>
      </c>
      <c r="AE18" s="19"/>
      <c r="AF18" s="19"/>
      <c r="AG18" s="19"/>
      <c r="AH18" s="19"/>
      <c r="AI18" s="19"/>
      <c r="AJ18" s="56" t="s">
        <v>144</v>
      </c>
      <c r="AK18" s="3">
        <f>arrange_tube_SnT(T12,"Plain",O14,0,O16,O17,0,S17,T18,U17,V18,S20,AK17,T12/2,0,31)</f>
        <v>45</v>
      </c>
    </row>
    <row r="19" spans="1:36" ht="11.25" customHeight="1">
      <c r="A19" s="3">
        <v>17</v>
      </c>
      <c r="B19" s="36"/>
      <c r="C19" s="19"/>
      <c r="D19" s="19"/>
      <c r="E19" s="19"/>
      <c r="F19" s="19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40" t="s">
        <v>164</v>
      </c>
      <c r="T19" s="7"/>
      <c r="U19" s="7"/>
      <c r="V19" s="7"/>
      <c r="W19" s="1"/>
      <c r="Y19" s="16" t="s">
        <v>165</v>
      </c>
      <c r="Z19" s="193">
        <f>IF(O16="Triangular",O17*SIN(60/180*PI()),IF(O16="Rotated Triangular",O17*COS(60/180*PI()),IF(O16="Square",O17,IF(O16="Rotated Square",O17*COS(45/180*PI())))))</f>
        <v>24.24871130596428</v>
      </c>
      <c r="AA19" s="193"/>
      <c r="AE19" s="19"/>
      <c r="AF19" s="19"/>
      <c r="AG19" s="19"/>
      <c r="AH19" s="19"/>
      <c r="AI19" s="19"/>
      <c r="AJ19" s="57"/>
    </row>
    <row r="20" spans="1:35" ht="11.25" customHeight="1">
      <c r="A20" s="3">
        <v>18</v>
      </c>
      <c r="B20" s="36"/>
      <c r="C20" s="19" t="s">
        <v>166</v>
      </c>
      <c r="D20" s="19"/>
      <c r="E20" s="24" t="s">
        <v>167</v>
      </c>
      <c r="F20" s="19"/>
      <c r="G20" s="19"/>
      <c r="H20" s="19"/>
      <c r="I20" s="19"/>
      <c r="J20" s="19"/>
      <c r="K20" s="17"/>
      <c r="L20" s="8"/>
      <c r="M20" s="8"/>
      <c r="N20" s="8"/>
      <c r="O20" s="8"/>
      <c r="P20" s="8"/>
      <c r="Q20" s="8"/>
      <c r="R20" s="8"/>
      <c r="S20" s="210" t="s">
        <v>75</v>
      </c>
      <c r="T20" s="210"/>
      <c r="U20" s="8"/>
      <c r="V20" s="8"/>
      <c r="W20" s="18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1.25" customHeight="1">
      <c r="A21" s="3">
        <v>19</v>
      </c>
      <c r="B21" s="205" t="s">
        <v>168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50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6" ht="11.25" customHeight="1">
      <c r="A22" s="3">
        <v>20</v>
      </c>
      <c r="B22" s="74" t="s">
        <v>169</v>
      </c>
      <c r="C22" s="213" t="s">
        <v>170</v>
      </c>
      <c r="D22" s="214"/>
      <c r="E22" s="214" t="s">
        <v>171</v>
      </c>
      <c r="F22" s="215"/>
      <c r="G22" s="241" t="str">
        <f>E20&amp;" Length, mm"</f>
        <v>U-tube Length, mm</v>
      </c>
      <c r="H22" s="242"/>
      <c r="I22" s="242"/>
      <c r="J22" s="243"/>
      <c r="K22" s="246" t="s">
        <v>172</v>
      </c>
      <c r="L22" s="247"/>
      <c r="M22" s="247"/>
      <c r="N22" s="247"/>
      <c r="O22" s="248"/>
      <c r="P22" s="241" t="s">
        <v>173</v>
      </c>
      <c r="Q22" s="242"/>
      <c r="R22" s="242"/>
      <c r="S22" s="242"/>
      <c r="T22" s="242"/>
      <c r="U22" s="243"/>
      <c r="V22" s="235" t="s">
        <v>174</v>
      </c>
      <c r="W22" s="236"/>
      <c r="X22" s="44"/>
      <c r="Y22" s="224" t="s">
        <v>175</v>
      </c>
      <c r="Z22" s="225"/>
      <c r="AA22" s="225"/>
      <c r="AB22" s="226"/>
      <c r="AC22" s="42"/>
      <c r="AD22" s="42"/>
      <c r="AE22" s="42"/>
      <c r="AF22" s="42"/>
      <c r="AG22" s="42"/>
      <c r="AH22" s="42"/>
      <c r="AI22" s="42"/>
      <c r="AJ22" s="44"/>
    </row>
    <row r="23" spans="1:36" ht="11.25" customHeight="1">
      <c r="A23" s="3">
        <v>21</v>
      </c>
      <c r="B23" s="52" t="s">
        <v>176</v>
      </c>
      <c r="C23" s="218" t="s">
        <v>177</v>
      </c>
      <c r="D23" s="219"/>
      <c r="E23" s="219" t="s">
        <v>177</v>
      </c>
      <c r="F23" s="220"/>
      <c r="G23" s="216" t="str">
        <f>L23</f>
        <v>Installed</v>
      </c>
      <c r="H23" s="217"/>
      <c r="I23" s="217" t="str">
        <f>N23</f>
        <v>Ordered</v>
      </c>
      <c r="J23" s="249"/>
      <c r="K23" s="66" t="s">
        <v>178</v>
      </c>
      <c r="L23" s="222" t="s">
        <v>179</v>
      </c>
      <c r="M23" s="223"/>
      <c r="N23" s="244" t="s">
        <v>180</v>
      </c>
      <c r="O23" s="245"/>
      <c r="P23" s="75" t="s">
        <v>181</v>
      </c>
      <c r="Q23" s="239" t="str">
        <f>L23</f>
        <v>Installed</v>
      </c>
      <c r="R23" s="240"/>
      <c r="S23" s="75" t="s">
        <v>181</v>
      </c>
      <c r="T23" s="239" t="str">
        <f>N23</f>
        <v>Ordered</v>
      </c>
      <c r="U23" s="240"/>
      <c r="V23" s="237"/>
      <c r="W23" s="238"/>
      <c r="X23" s="44"/>
      <c r="Y23" s="227" t="s">
        <v>182</v>
      </c>
      <c r="Z23" s="219"/>
      <c r="AA23" s="219" t="s">
        <v>183</v>
      </c>
      <c r="AB23" s="220"/>
      <c r="AC23" s="38"/>
      <c r="AD23" s="38"/>
      <c r="AE23" s="38"/>
      <c r="AF23" s="38"/>
      <c r="AG23" s="38"/>
      <c r="AH23" s="38"/>
      <c r="AI23" s="38"/>
      <c r="AJ23" s="44"/>
    </row>
    <row r="24" spans="1:35" ht="11.25" customHeight="1">
      <c r="A24" s="3">
        <v>22</v>
      </c>
      <c r="B24" s="72">
        <v>1</v>
      </c>
      <c r="C24" s="221">
        <v>60</v>
      </c>
      <c r="D24" s="155"/>
      <c r="E24" s="184">
        <f aca="true" t="shared" si="0" ref="E24:E60">PI()*C24</f>
        <v>188.49555921538757</v>
      </c>
      <c r="F24" s="188"/>
      <c r="G24" s="183">
        <f>E24+2*E18</f>
        <v>17374.49555921539</v>
      </c>
      <c r="H24" s="184"/>
      <c r="I24" s="175">
        <f>IF(OR(N24="",N24&lt;1),"",INT(G24/10)*10+G66)</f>
      </c>
      <c r="J24" s="176"/>
      <c r="K24" s="63">
        <f>IF(OR(L24="",L24&lt;1),"",arrange_tube_SnT(T12,"Plain",O14,0,O16,O17,0,S17,T18,U17,V18,S20,B24,T12/2,0,31))</f>
        <v>45</v>
      </c>
      <c r="L24" s="155">
        <v>45</v>
      </c>
      <c r="M24" s="155"/>
      <c r="N24" s="152"/>
      <c r="O24" s="153"/>
      <c r="P24" s="79">
        <f>IF(OR(L24="",L24&lt;1),"",U15*G24/1000)</f>
        <v>15.315373591851186</v>
      </c>
      <c r="Q24" s="148">
        <f aca="true" t="shared" si="1" ref="Q24:Q60">IF(OR(L24="",L24&lt;1),"",P24*L24)</f>
        <v>689.1918116333034</v>
      </c>
      <c r="R24" s="149"/>
      <c r="S24" s="79">
        <f>IF(OR(I24="",I24&lt;1),"",U15*I24/1000)</f>
      </c>
      <c r="T24" s="148">
        <f aca="true" t="shared" si="2" ref="T24:T60">IF(OR(N24="",N24&lt;1),"",S24*N24)</f>
      </c>
      <c r="U24" s="149"/>
      <c r="V24" s="113"/>
      <c r="W24" s="114"/>
      <c r="Y24" s="165">
        <f>PI()*O14*(2*F14+E24)/10^6</f>
        <v>1.0286857386954997</v>
      </c>
      <c r="Z24" s="166"/>
      <c r="AA24" s="167">
        <f aca="true" t="shared" si="3" ref="AA24:AA60">Y24*L24</f>
        <v>46.290858241297485</v>
      </c>
      <c r="AB24" s="168"/>
      <c r="AC24" s="11"/>
      <c r="AD24" s="11"/>
      <c r="AE24" s="11"/>
      <c r="AF24" s="11"/>
      <c r="AG24" s="11"/>
      <c r="AH24" s="11"/>
      <c r="AI24" s="11"/>
    </row>
    <row r="25" spans="1:35" ht="11.25" customHeight="1">
      <c r="A25" s="3">
        <v>23</v>
      </c>
      <c r="B25" s="67">
        <f aca="true" t="shared" si="4" ref="B25:B60">B24+1</f>
        <v>2</v>
      </c>
      <c r="C25" s="189">
        <f>C24+Z19</f>
        <v>84.24871130596428</v>
      </c>
      <c r="D25" s="190"/>
      <c r="E25" s="180">
        <f t="shared" si="0"/>
        <v>264.6751325132247</v>
      </c>
      <c r="F25" s="185"/>
      <c r="G25" s="179">
        <f>E25+2*E18</f>
        <v>17450.675132513225</v>
      </c>
      <c r="H25" s="180"/>
      <c r="I25" s="169">
        <f>IF(OR(N25="",N25&lt;1),"",INT(G25/10)*10+G66)</f>
        <v>17650</v>
      </c>
      <c r="J25" s="170"/>
      <c r="K25" s="64">
        <f>IF(OR(L25="",L25&lt;1),"",arrange_tube_SnT(T12,"Plain",O14,0,O16,O17,0,S17,T18,U17,V18,S20,B25,T12/2,0,31))</f>
        <v>46</v>
      </c>
      <c r="L25" s="142">
        <v>46</v>
      </c>
      <c r="M25" s="142"/>
      <c r="N25" s="142">
        <f>SUM(L24:M25)</f>
        <v>91</v>
      </c>
      <c r="O25" s="154"/>
      <c r="P25" s="77">
        <f>IF(OR(L25="",L25&lt;1),"",U15*G25/1000)</f>
        <v>15.382524814811749</v>
      </c>
      <c r="Q25" s="138">
        <f t="shared" si="1"/>
        <v>707.5961414813404</v>
      </c>
      <c r="R25" s="139"/>
      <c r="S25" s="77">
        <f>IF(OR(I25="",I25&lt;1),"",U15*I25/1000)</f>
        <v>15.558226883473363</v>
      </c>
      <c r="T25" s="138">
        <f t="shared" si="2"/>
        <v>1415.798646396076</v>
      </c>
      <c r="U25" s="139"/>
      <c r="V25" s="113"/>
      <c r="W25" s="114"/>
      <c r="Y25" s="157">
        <f>PI()*O14*(2*F14+E25)/10^6</f>
        <v>1.0332448835235866</v>
      </c>
      <c r="Z25" s="158"/>
      <c r="AA25" s="159">
        <f t="shared" si="3"/>
        <v>47.52926464208498</v>
      </c>
      <c r="AB25" s="160"/>
      <c r="AC25" s="7"/>
      <c r="AD25" s="7"/>
      <c r="AE25" s="45"/>
      <c r="AF25" s="7"/>
      <c r="AG25" s="7"/>
      <c r="AH25" s="7"/>
      <c r="AI25" s="7"/>
    </row>
    <row r="26" spans="1:35" ht="11.25" customHeight="1">
      <c r="A26" s="3">
        <v>24</v>
      </c>
      <c r="B26" s="67">
        <f t="shared" si="4"/>
        <v>3</v>
      </c>
      <c r="C26" s="189">
        <f>C25+Z19</f>
        <v>108.49742261192856</v>
      </c>
      <c r="D26" s="190"/>
      <c r="E26" s="180">
        <f t="shared" si="0"/>
        <v>340.8547058110619</v>
      </c>
      <c r="F26" s="185"/>
      <c r="G26" s="179">
        <f>E26+2*E18</f>
        <v>17526.854705811063</v>
      </c>
      <c r="H26" s="180"/>
      <c r="I26" s="169">
        <f>IF(OR(N26="",N26&lt;1),"",INT(G26/10)*10+G66)</f>
      </c>
      <c r="J26" s="170"/>
      <c r="K26" s="64">
        <f>IF(OR(L26="",L26&lt;1),"",arrange_tube_SnT(T12,"Plain",O14,0,O16,O17,0,S17,T18,U17,V18,S20,B26,T12/2,0,31))</f>
        <v>45</v>
      </c>
      <c r="L26" s="142">
        <v>45</v>
      </c>
      <c r="M26" s="142"/>
      <c r="N26" s="120"/>
      <c r="O26" s="121"/>
      <c r="P26" s="77">
        <f>IF(OR(L26="",L26&lt;1),"",U15*G26/1000)</f>
        <v>15.449676037772313</v>
      </c>
      <c r="Q26" s="138">
        <f t="shared" si="1"/>
        <v>695.235421699754</v>
      </c>
      <c r="R26" s="139"/>
      <c r="S26" s="77">
        <f>IF(OR(I26="",I26&lt;1),"",U15*I26/1000)</f>
      </c>
      <c r="T26" s="138">
        <f t="shared" si="2"/>
      </c>
      <c r="U26" s="139"/>
      <c r="V26" s="113"/>
      <c r="W26" s="114"/>
      <c r="Y26" s="157">
        <f>PI()*O14*(2*F14+E26)/10^6</f>
        <v>1.0378040283516738</v>
      </c>
      <c r="Z26" s="158"/>
      <c r="AA26" s="159">
        <f t="shared" si="3"/>
        <v>46.70118127582532</v>
      </c>
      <c r="AB26" s="160"/>
      <c r="AC26" s="7"/>
      <c r="AD26" s="7"/>
      <c r="AE26" s="7"/>
      <c r="AF26" s="7"/>
      <c r="AG26" s="7"/>
      <c r="AH26" s="7"/>
      <c r="AI26" s="7"/>
    </row>
    <row r="27" spans="1:35" ht="11.25" customHeight="1">
      <c r="A27" s="3">
        <v>25</v>
      </c>
      <c r="B27" s="67">
        <f t="shared" si="4"/>
        <v>4</v>
      </c>
      <c r="C27" s="189">
        <f>C26+Z19</f>
        <v>132.74613391789285</v>
      </c>
      <c r="D27" s="190"/>
      <c r="E27" s="180">
        <f t="shared" si="0"/>
        <v>417.03427910889906</v>
      </c>
      <c r="F27" s="185"/>
      <c r="G27" s="179">
        <f>E27+2*E18</f>
        <v>17603.0342791089</v>
      </c>
      <c r="H27" s="180"/>
      <c r="I27" s="169">
        <f>IF(OR(N27="",N27&lt;1),"",INT(G27/10)*10+G66)</f>
        <v>17800</v>
      </c>
      <c r="J27" s="170"/>
      <c r="K27" s="64">
        <f>IF(OR(L27="",L27&lt;1),"",arrange_tube_SnT(T12,"Plain",O14,0,O16,O17,0,S17,T18,U17,V18,S20,B27,T12/2,0,31))</f>
        <v>46</v>
      </c>
      <c r="L27" s="142">
        <v>46</v>
      </c>
      <c r="M27" s="142"/>
      <c r="N27" s="142">
        <f>SUM(L26:M27)</f>
        <v>91</v>
      </c>
      <c r="O27" s="154"/>
      <c r="P27" s="77">
        <f>IF(OR(L27="",L27&lt;1),"",U15*G27/1000)</f>
        <v>15.516827260732875</v>
      </c>
      <c r="Q27" s="138">
        <f t="shared" si="1"/>
        <v>713.7740539937122</v>
      </c>
      <c r="R27" s="139"/>
      <c r="S27" s="77">
        <f>IF(OR(I27="",I27&lt;1),"",U15*I27/1000)</f>
        <v>15.690449774834327</v>
      </c>
      <c r="T27" s="138">
        <f t="shared" si="2"/>
        <v>1427.8309295099239</v>
      </c>
      <c r="U27" s="139"/>
      <c r="V27" s="113"/>
      <c r="W27" s="114"/>
      <c r="Y27" s="157">
        <f>PI()*O14*(2*F14+E27)/10^6</f>
        <v>1.042363173179761</v>
      </c>
      <c r="Z27" s="158"/>
      <c r="AA27" s="159">
        <f t="shared" si="3"/>
        <v>47.948705966269</v>
      </c>
      <c r="AB27" s="160"/>
      <c r="AC27" s="7"/>
      <c r="AD27" s="7"/>
      <c r="AE27" s="7"/>
      <c r="AF27" s="7"/>
      <c r="AG27" s="7"/>
      <c r="AH27" s="7"/>
      <c r="AI27" s="7"/>
    </row>
    <row r="28" spans="1:35" ht="11.25" customHeight="1">
      <c r="A28" s="3">
        <v>26</v>
      </c>
      <c r="B28" s="67">
        <f t="shared" si="4"/>
        <v>5</v>
      </c>
      <c r="C28" s="189">
        <f>C27+Z19</f>
        <v>156.99484522385714</v>
      </c>
      <c r="D28" s="190"/>
      <c r="E28" s="180">
        <f t="shared" si="0"/>
        <v>493.21385240673624</v>
      </c>
      <c r="F28" s="185"/>
      <c r="G28" s="179">
        <f>E28+2*E18</f>
        <v>17679.213852406738</v>
      </c>
      <c r="H28" s="180"/>
      <c r="I28" s="169">
        <f>IF(OR(N28="",N28&lt;1),"",INT(G28/10)*10+G66)</f>
      </c>
      <c r="J28" s="170"/>
      <c r="K28" s="64">
        <f>IF(OR(L28="",L28&lt;1),"",arrange_tube_SnT(T12,"Plain",O14,0,O16,O17,0,S17,T18,U17,V18,S20,B28,T12/2,0,31))</f>
        <v>45</v>
      </c>
      <c r="L28" s="142">
        <v>45</v>
      </c>
      <c r="M28" s="142"/>
      <c r="N28" s="120"/>
      <c r="O28" s="121"/>
      <c r="P28" s="77">
        <f>IF(OR(L28="",L28&lt;1),"",U15*G28/1000)</f>
        <v>15.58397848369344</v>
      </c>
      <c r="Q28" s="138">
        <f t="shared" si="1"/>
        <v>701.2790317662048</v>
      </c>
      <c r="R28" s="139"/>
      <c r="S28" s="77">
        <f>IF(OR(I28="",I28&lt;1),"",U15*I28/1000)</f>
      </c>
      <c r="T28" s="138">
        <f t="shared" si="2"/>
      </c>
      <c r="U28" s="139"/>
      <c r="V28" s="113"/>
      <c r="W28" s="114"/>
      <c r="Y28" s="157">
        <f>PI()*O14*(2*F14+E28)/10^6</f>
        <v>1.046922318007848</v>
      </c>
      <c r="Z28" s="158"/>
      <c r="AA28" s="159">
        <f t="shared" si="3"/>
        <v>47.111504310353155</v>
      </c>
      <c r="AB28" s="160"/>
      <c r="AC28" s="7"/>
      <c r="AD28" s="7"/>
      <c r="AE28" s="7"/>
      <c r="AF28" s="7"/>
      <c r="AG28" s="7"/>
      <c r="AH28" s="7"/>
      <c r="AI28" s="7"/>
    </row>
    <row r="29" spans="1:35" ht="11.25" customHeight="1">
      <c r="A29" s="3">
        <v>27</v>
      </c>
      <c r="B29" s="67">
        <f t="shared" si="4"/>
        <v>6</v>
      </c>
      <c r="C29" s="189">
        <f>C28+Z19</f>
        <v>181.24355652982143</v>
      </c>
      <c r="D29" s="190"/>
      <c r="E29" s="180">
        <f t="shared" si="0"/>
        <v>569.3934257045734</v>
      </c>
      <c r="F29" s="185"/>
      <c r="G29" s="179">
        <f>E29+2*E18</f>
        <v>17755.393425704573</v>
      </c>
      <c r="H29" s="180"/>
      <c r="I29" s="169">
        <f>IF(OR(N29="",N29&lt;1),"",INT(G29/10)*10+G66)</f>
        <v>17950</v>
      </c>
      <c r="J29" s="170"/>
      <c r="K29" s="64">
        <f>IF(OR(L29="",L29&lt;1),"",arrange_tube_SnT(T12,"Plain",O14,0,O16,O17,0,S17,T18,U17,V18,S20,B29,T12/2,0,31))</f>
        <v>44</v>
      </c>
      <c r="L29" s="142">
        <v>44</v>
      </c>
      <c r="M29" s="142"/>
      <c r="N29" s="142">
        <f>SUM(L28:M29)</f>
        <v>89</v>
      </c>
      <c r="O29" s="154"/>
      <c r="P29" s="77">
        <f>IF(OR(L29="",L29&lt;1),"",U15*G29/1000)</f>
        <v>15.651129706654</v>
      </c>
      <c r="Q29" s="138">
        <f t="shared" si="1"/>
        <v>688.649707092776</v>
      </c>
      <c r="R29" s="139"/>
      <c r="S29" s="77">
        <f>IF(OR(I29="",I29&lt;1),"",U15*I29/1000)</f>
        <v>15.82267266619529</v>
      </c>
      <c r="T29" s="138">
        <f t="shared" si="2"/>
        <v>1408.2178672913808</v>
      </c>
      <c r="U29" s="139"/>
      <c r="V29" s="113"/>
      <c r="W29" s="114"/>
      <c r="Y29" s="157">
        <f>PI()*O14*(2*F14+E29)/10^6</f>
        <v>1.0514814628359348</v>
      </c>
      <c r="Z29" s="158"/>
      <c r="AA29" s="159">
        <f t="shared" si="3"/>
        <v>46.265184364781135</v>
      </c>
      <c r="AB29" s="160"/>
      <c r="AC29" s="7"/>
      <c r="AD29" s="7"/>
      <c r="AE29" s="7"/>
      <c r="AF29" s="7"/>
      <c r="AG29" s="7"/>
      <c r="AH29" s="7"/>
      <c r="AI29" s="7"/>
    </row>
    <row r="30" spans="1:35" ht="11.25" customHeight="1">
      <c r="A30" s="3">
        <v>28</v>
      </c>
      <c r="B30" s="67">
        <f t="shared" si="4"/>
        <v>7</v>
      </c>
      <c r="C30" s="189">
        <f>C29+Z19</f>
        <v>205.49226783578573</v>
      </c>
      <c r="D30" s="190"/>
      <c r="E30" s="180">
        <f t="shared" si="0"/>
        <v>645.5729990024106</v>
      </c>
      <c r="F30" s="185"/>
      <c r="G30" s="179">
        <f>E30+2*E18</f>
        <v>17831.572999002412</v>
      </c>
      <c r="H30" s="180"/>
      <c r="I30" s="169">
        <f>IF(OR(N30="",N30&lt;1),"",INT(G30/10)*10+G66)</f>
      </c>
      <c r="J30" s="170"/>
      <c r="K30" s="64">
        <f>IF(OR(L30="",L30&lt;1),"",arrange_tube_SnT(T12,"Plain",O14,0,O16,O17,0,S17,T18,U17,V18,S20,B30,T12/2,0,31))</f>
        <v>43</v>
      </c>
      <c r="L30" s="142">
        <v>43</v>
      </c>
      <c r="M30" s="142"/>
      <c r="N30" s="120"/>
      <c r="O30" s="121"/>
      <c r="P30" s="77">
        <f>IF(OR(L30="",L30&lt;1),"",U15*G30/1000)</f>
        <v>15.718280929614565</v>
      </c>
      <c r="Q30" s="138">
        <f t="shared" si="1"/>
        <v>675.8860799734263</v>
      </c>
      <c r="R30" s="139"/>
      <c r="S30" s="77">
        <f>IF(OR(I30="",I30&lt;1),"",U15*I30/1000)</f>
      </c>
      <c r="T30" s="138">
        <f t="shared" si="2"/>
      </c>
      <c r="U30" s="139"/>
      <c r="V30" s="113"/>
      <c r="W30" s="114"/>
      <c r="Y30" s="157">
        <f>PI()*O14*(2*F14+E30)/10^6</f>
        <v>1.0560406076640219</v>
      </c>
      <c r="Z30" s="158"/>
      <c r="AA30" s="159">
        <f t="shared" si="3"/>
        <v>45.40974612955294</v>
      </c>
      <c r="AB30" s="160"/>
      <c r="AC30" s="7"/>
      <c r="AD30" s="7"/>
      <c r="AE30" s="7"/>
      <c r="AF30" s="7"/>
      <c r="AG30" s="7"/>
      <c r="AH30" s="7"/>
      <c r="AI30" s="7"/>
    </row>
    <row r="31" spans="1:35" ht="11.25" customHeight="1">
      <c r="A31" s="3">
        <v>29</v>
      </c>
      <c r="B31" s="67">
        <f t="shared" si="4"/>
        <v>8</v>
      </c>
      <c r="C31" s="189">
        <f>C30+Z19</f>
        <v>229.74097914175002</v>
      </c>
      <c r="D31" s="190"/>
      <c r="E31" s="180">
        <f t="shared" si="0"/>
        <v>721.7525723002477</v>
      </c>
      <c r="F31" s="185"/>
      <c r="G31" s="179">
        <f>E31+2*E18</f>
        <v>17907.752572300247</v>
      </c>
      <c r="H31" s="180"/>
      <c r="I31" s="169">
        <f>IF(OR(N31="",N31&lt;1),"",INT(G31/10)*10+G66)</f>
        <v>18100</v>
      </c>
      <c r="J31" s="170"/>
      <c r="K31" s="64">
        <f>IF(OR(L31="",L31&lt;1),"",arrange_tube_SnT(T12,"Plain",O14,0,O16,O17,0,S17,T18,U17,V18,S20,B31,T12/2,0,31))</f>
        <v>44</v>
      </c>
      <c r="L31" s="142">
        <v>44</v>
      </c>
      <c r="M31" s="142"/>
      <c r="N31" s="142">
        <f>SUM(L30:M31)</f>
        <v>87</v>
      </c>
      <c r="O31" s="154"/>
      <c r="P31" s="77">
        <f>IF(OR(L31="",L31&lt;1),"",U15*G31/1000)</f>
        <v>15.785432152575128</v>
      </c>
      <c r="Q31" s="138">
        <f t="shared" si="1"/>
        <v>694.5590147133056</v>
      </c>
      <c r="R31" s="139"/>
      <c r="S31" s="77">
        <f>IF(OR(I31="",I31&lt;1),"",U15*I31/1000)</f>
        <v>15.954895557556254</v>
      </c>
      <c r="T31" s="138">
        <f t="shared" si="2"/>
        <v>1388.075913507394</v>
      </c>
      <c r="U31" s="139"/>
      <c r="V31" s="113"/>
      <c r="W31" s="114"/>
      <c r="Y31" s="157">
        <f>PI()*O14*(2*F14+E31)/10^6</f>
        <v>1.060599752492109</v>
      </c>
      <c r="Z31" s="158"/>
      <c r="AA31" s="159">
        <f t="shared" si="3"/>
        <v>46.66638910965279</v>
      </c>
      <c r="AB31" s="160"/>
      <c r="AC31" s="7"/>
      <c r="AD31" s="7"/>
      <c r="AE31" s="7"/>
      <c r="AF31" s="7"/>
      <c r="AG31" s="7"/>
      <c r="AH31" s="7"/>
      <c r="AI31" s="7"/>
    </row>
    <row r="32" spans="1:35" ht="11.25" customHeight="1">
      <c r="A32" s="3">
        <v>30</v>
      </c>
      <c r="B32" s="67">
        <f t="shared" si="4"/>
        <v>9</v>
      </c>
      <c r="C32" s="189">
        <f>C31+Z19</f>
        <v>253.9896904477143</v>
      </c>
      <c r="D32" s="190"/>
      <c r="E32" s="180">
        <f t="shared" si="0"/>
        <v>797.932145598085</v>
      </c>
      <c r="F32" s="185"/>
      <c r="G32" s="179">
        <f>E32+2*E18</f>
        <v>17983.932145598086</v>
      </c>
      <c r="H32" s="180"/>
      <c r="I32" s="169">
        <f>IF(OR(N32="",N32&lt;1),"",INT(G32/10)*10+G66)</f>
      </c>
      <c r="J32" s="170"/>
      <c r="K32" s="64">
        <f>IF(OR(L32="",L32&lt;1),"",arrange_tube_SnT(T12,"Plain",O14,0,O16,O17,0,S17,T18,U17,V18,S20,B32,T12/2,0,31))</f>
        <v>43</v>
      </c>
      <c r="L32" s="142">
        <v>43</v>
      </c>
      <c r="M32" s="142"/>
      <c r="N32" s="120"/>
      <c r="O32" s="121"/>
      <c r="P32" s="77">
        <f>IF(OR(L32="",L32&lt;1),"",U15*G32/1000)</f>
        <v>15.85258337553569</v>
      </c>
      <c r="Q32" s="138">
        <f t="shared" si="1"/>
        <v>681.6610851480347</v>
      </c>
      <c r="R32" s="139"/>
      <c r="S32" s="77">
        <f>IF(OR(I32="",I32&lt;1),"",U15*I32/1000)</f>
      </c>
      <c r="T32" s="138">
        <f t="shared" si="2"/>
      </c>
      <c r="U32" s="139"/>
      <c r="V32" s="113"/>
      <c r="W32" s="114"/>
      <c r="Y32" s="157">
        <f>PI()*O14*(2*F14+E32)/10^6</f>
        <v>1.065158897320196</v>
      </c>
      <c r="Z32" s="158"/>
      <c r="AA32" s="159">
        <f t="shared" si="3"/>
        <v>45.80183258476843</v>
      </c>
      <c r="AB32" s="160"/>
      <c r="AC32" s="7"/>
      <c r="AD32" s="7"/>
      <c r="AE32" s="7"/>
      <c r="AF32" s="7"/>
      <c r="AG32" s="7"/>
      <c r="AH32" s="7"/>
      <c r="AI32" s="7"/>
    </row>
    <row r="33" spans="1:35" ht="11.25" customHeight="1">
      <c r="A33" s="3">
        <v>31</v>
      </c>
      <c r="B33" s="68">
        <f t="shared" si="4"/>
        <v>10</v>
      </c>
      <c r="C33" s="194">
        <f>C32+Z19</f>
        <v>278.2384017536786</v>
      </c>
      <c r="D33" s="195"/>
      <c r="E33" s="182">
        <f t="shared" si="0"/>
        <v>874.1117188959221</v>
      </c>
      <c r="F33" s="187"/>
      <c r="G33" s="181">
        <f>E33+2*E18</f>
        <v>18060.11171889592</v>
      </c>
      <c r="H33" s="182"/>
      <c r="I33" s="173">
        <f>IF(OR(N33="",N33&lt;1),"",INT(G33/10)*10+G66)</f>
      </c>
      <c r="J33" s="174"/>
      <c r="K33" s="65">
        <f>IF(OR(L33="",L33&lt;1),"",arrange_tube_SnT(T12,"Plain",O14,0,O16,O17,0,S17,T18,U17,V18,S20,B33,T12/2,0,31))</f>
        <v>42</v>
      </c>
      <c r="L33" s="143">
        <v>42</v>
      </c>
      <c r="M33" s="143"/>
      <c r="N33" s="144"/>
      <c r="O33" s="145"/>
      <c r="P33" s="78">
        <f>IF(OR(L33="",L33&lt;1),"",U15*G33/1000)</f>
        <v>15.919734598496252</v>
      </c>
      <c r="Q33" s="146">
        <f t="shared" si="1"/>
        <v>668.6288531368426</v>
      </c>
      <c r="R33" s="147"/>
      <c r="S33" s="80">
        <f>IF(OR(I33="",I33&lt;1),"",U15*I33/1000)</f>
      </c>
      <c r="T33" s="146">
        <f t="shared" si="2"/>
      </c>
      <c r="U33" s="147"/>
      <c r="V33" s="122"/>
      <c r="W33" s="123"/>
      <c r="Y33" s="161">
        <f>PI()*O14*(2*F14+E33)/10^6</f>
        <v>1.069718042148283</v>
      </c>
      <c r="Z33" s="162"/>
      <c r="AA33" s="163">
        <f t="shared" si="3"/>
        <v>44.928157770227884</v>
      </c>
      <c r="AB33" s="164"/>
      <c r="AC33" s="8"/>
      <c r="AD33" s="8"/>
      <c r="AE33" s="8"/>
      <c r="AF33" s="8"/>
      <c r="AG33" s="8"/>
      <c r="AH33" s="8"/>
      <c r="AI33" s="8"/>
    </row>
    <row r="34" spans="1:35" ht="11.25" customHeight="1">
      <c r="A34" s="3">
        <v>32</v>
      </c>
      <c r="B34" s="69">
        <f t="shared" si="4"/>
        <v>11</v>
      </c>
      <c r="C34" s="196">
        <f>C33+Z19</f>
        <v>302.48711305964287</v>
      </c>
      <c r="D34" s="197"/>
      <c r="E34" s="184">
        <f t="shared" si="0"/>
        <v>950.2912921937592</v>
      </c>
      <c r="F34" s="188"/>
      <c r="G34" s="183">
        <f>E34+2*E18</f>
        <v>18136.29129219376</v>
      </c>
      <c r="H34" s="184"/>
      <c r="I34" s="175">
        <f>IF(OR(N34="",N34&lt;1),"",INT(G34/10)*10+G66)</f>
        <v>18330</v>
      </c>
      <c r="J34" s="176"/>
      <c r="K34" s="70">
        <f>IF(OR(L34="",L34&lt;1),"",arrange_tube_SnT(T12,"Plain",O14,0,O16,O17,0,S17,T18,U17,V18,S20,B34,T12/2,0,31))</f>
        <v>41</v>
      </c>
      <c r="L34" s="155">
        <v>41</v>
      </c>
      <c r="M34" s="155"/>
      <c r="N34" s="155">
        <f>SUM(L32:M34)</f>
        <v>126</v>
      </c>
      <c r="O34" s="156"/>
      <c r="P34" s="79">
        <f>IF(OR(L34="",L34&lt;1),"",U15*G34/1000)</f>
        <v>15.986885821456816</v>
      </c>
      <c r="Q34" s="148">
        <f t="shared" si="1"/>
        <v>655.4623186797295</v>
      </c>
      <c r="R34" s="149"/>
      <c r="S34" s="79">
        <f>IF(OR(I34="",I34&lt;1),"",U15*I34/1000)</f>
        <v>16.157637324309732</v>
      </c>
      <c r="T34" s="148">
        <f t="shared" si="2"/>
        <v>2035.8623028630263</v>
      </c>
      <c r="U34" s="149"/>
      <c r="V34" s="118"/>
      <c r="W34" s="119"/>
      <c r="X34" s="37"/>
      <c r="Y34" s="165">
        <f>PI()*O14*(2*F14+E34)/10^6</f>
        <v>1.0742771869763699</v>
      </c>
      <c r="Z34" s="166"/>
      <c r="AA34" s="167">
        <f t="shared" si="3"/>
        <v>44.04536466603116</v>
      </c>
      <c r="AB34" s="168"/>
      <c r="AC34" s="11"/>
      <c r="AD34" s="11"/>
      <c r="AE34" s="11"/>
      <c r="AF34" s="11"/>
      <c r="AG34" s="11"/>
      <c r="AH34" s="11"/>
      <c r="AI34" s="11"/>
    </row>
    <row r="35" spans="1:35" ht="11.25" customHeight="1">
      <c r="A35" s="3">
        <v>33</v>
      </c>
      <c r="B35" s="67">
        <f t="shared" si="4"/>
        <v>12</v>
      </c>
      <c r="C35" s="189">
        <f>C34+Z19</f>
        <v>326.73582436560713</v>
      </c>
      <c r="D35" s="190"/>
      <c r="E35" s="180">
        <f t="shared" si="0"/>
        <v>1026.4708654915962</v>
      </c>
      <c r="F35" s="185"/>
      <c r="G35" s="179">
        <f>E35+2*E18</f>
        <v>18212.470865491596</v>
      </c>
      <c r="H35" s="180"/>
      <c r="I35" s="169">
        <f>IF(OR(N35="",N35&lt;1),"",INT(G35/10)*10+G66)</f>
      </c>
      <c r="J35" s="170"/>
      <c r="K35" s="64">
        <f>IF(OR(L35="",L35&lt;1),"",arrange_tube_SnT(T12,"Plain",O14,0,O16,O17,0,S17,T18,U17,V18,S20,B35,T12/2,0,31))</f>
        <v>40</v>
      </c>
      <c r="L35" s="142">
        <v>26</v>
      </c>
      <c r="M35" s="142"/>
      <c r="N35" s="120"/>
      <c r="O35" s="121"/>
      <c r="P35" s="77">
        <f>IF(OR(L35="",L35&lt;1),"",U15*G35/1000)</f>
        <v>16.054037044417377</v>
      </c>
      <c r="Q35" s="138">
        <f t="shared" si="1"/>
        <v>417.4049631548518</v>
      </c>
      <c r="R35" s="139"/>
      <c r="S35" s="77">
        <f>IF(OR(I35="",I35&lt;1),"",U15*I35/1000)</f>
      </c>
      <c r="T35" s="138">
        <f t="shared" si="2"/>
      </c>
      <c r="U35" s="139"/>
      <c r="V35" s="113"/>
      <c r="W35" s="114"/>
      <c r="X35" s="19"/>
      <c r="Y35" s="157">
        <f>PI()*O14*(2*F14+E35)/10^6</f>
        <v>1.078836331804457</v>
      </c>
      <c r="Z35" s="158"/>
      <c r="AA35" s="159">
        <f t="shared" si="3"/>
        <v>28.04974462691588</v>
      </c>
      <c r="AB35" s="160"/>
      <c r="AC35" s="7"/>
      <c r="AD35" s="7"/>
      <c r="AE35" s="7"/>
      <c r="AF35" s="7"/>
      <c r="AG35" s="7"/>
      <c r="AH35" s="7"/>
      <c r="AI35" s="7"/>
    </row>
    <row r="36" spans="1:35" ht="11.25" customHeight="1">
      <c r="A36" s="3">
        <v>34</v>
      </c>
      <c r="B36" s="67">
        <f t="shared" si="4"/>
        <v>13</v>
      </c>
      <c r="C36" s="189">
        <f>C35+Z19</f>
        <v>350.9845356715714</v>
      </c>
      <c r="D36" s="190"/>
      <c r="E36" s="180">
        <f t="shared" si="0"/>
        <v>1102.6504387894333</v>
      </c>
      <c r="F36" s="185"/>
      <c r="G36" s="179">
        <f>E36+2*E18</f>
        <v>18288.650438789435</v>
      </c>
      <c r="H36" s="180"/>
      <c r="I36" s="169">
        <f>IF(OR(N36="",N36&lt;1),"",INT(G36/10)*10+G66)</f>
      </c>
      <c r="J36" s="170"/>
      <c r="K36" s="64">
        <f>IF(OR(L36="",L36&lt;1),"",arrange_tube_SnT(T12,"Plain",O14,0,O16,O17,0,S17,T18,U17,V18,S20,B36,T12/2,0,31))</f>
      </c>
      <c r="L36" s="142"/>
      <c r="M36" s="142"/>
      <c r="N36" s="120"/>
      <c r="O36" s="121"/>
      <c r="P36" s="77">
        <f>IF(OR(L36="",L36&lt;1),"",U15*G36/1000)</f>
      </c>
      <c r="Q36" s="138">
        <f t="shared" si="1"/>
      </c>
      <c r="R36" s="139"/>
      <c r="S36" s="77">
        <f>IF(OR(I36="",I36&lt;1),"",U15*I36/1000)</f>
      </c>
      <c r="T36" s="138">
        <f t="shared" si="2"/>
      </c>
      <c r="U36" s="139"/>
      <c r="V36" s="113"/>
      <c r="W36" s="114"/>
      <c r="X36" s="19"/>
      <c r="Y36" s="157">
        <f>PI()*O14*(2*F14+E36)/10^6</f>
        <v>1.083395476632544</v>
      </c>
      <c r="Z36" s="158"/>
      <c r="AA36" s="159">
        <f t="shared" si="3"/>
        <v>0</v>
      </c>
      <c r="AB36" s="160"/>
      <c r="AC36" s="7"/>
      <c r="AD36" s="7"/>
      <c r="AE36" s="7"/>
      <c r="AF36" s="7"/>
      <c r="AG36" s="7"/>
      <c r="AH36" s="7"/>
      <c r="AI36" s="7"/>
    </row>
    <row r="37" spans="1:35" ht="11.25" customHeight="1">
      <c r="A37" s="3">
        <v>35</v>
      </c>
      <c r="B37" s="67">
        <f t="shared" si="4"/>
        <v>14</v>
      </c>
      <c r="C37" s="189">
        <f>C36+Z19</f>
        <v>375.23324697753566</v>
      </c>
      <c r="D37" s="190"/>
      <c r="E37" s="180">
        <f t="shared" si="0"/>
        <v>1178.8300120872705</v>
      </c>
      <c r="F37" s="185"/>
      <c r="G37" s="179">
        <f>E37+2*E18</f>
        <v>18364.83001208727</v>
      </c>
      <c r="H37" s="180"/>
      <c r="I37" s="169">
        <f>IF(OR(N37="",N37&lt;1),"",INT(G37/10)*10+G66)</f>
      </c>
      <c r="J37" s="170"/>
      <c r="K37" s="64">
        <f>IF(OR(L37="",L37&lt;1),"",arrange_tube_SnT(T12,"Plain",O14,0,O16,O17,0,S17,T18,U17,V18,S20,B37,T12/2,0,31))</f>
      </c>
      <c r="L37" s="142"/>
      <c r="M37" s="142"/>
      <c r="N37" s="142"/>
      <c r="O37" s="154"/>
      <c r="P37" s="77">
        <f>IF(OR(L37="",L37&lt;1),"",U15*G37/1000)</f>
      </c>
      <c r="Q37" s="138">
        <f t="shared" si="1"/>
      </c>
      <c r="R37" s="139"/>
      <c r="S37" s="77">
        <f>IF(OR(I37="",I37&lt;1),"",U15*I37/1000)</f>
      </c>
      <c r="T37" s="138">
        <f t="shared" si="2"/>
      </c>
      <c r="U37" s="139"/>
      <c r="V37" s="113"/>
      <c r="W37" s="114"/>
      <c r="X37" s="19"/>
      <c r="Y37" s="157">
        <f>PI()*O14*(2*F14+E37)/10^6</f>
        <v>1.087954621460631</v>
      </c>
      <c r="Z37" s="158"/>
      <c r="AA37" s="159">
        <f t="shared" si="3"/>
        <v>0</v>
      </c>
      <c r="AB37" s="160"/>
      <c r="AC37" s="7"/>
      <c r="AD37" s="7"/>
      <c r="AE37" s="7"/>
      <c r="AF37" s="7"/>
      <c r="AG37" s="7"/>
      <c r="AH37" s="7"/>
      <c r="AI37" s="7"/>
    </row>
    <row r="38" spans="1:35" ht="11.25" customHeight="1">
      <c r="A38" s="3">
        <v>36</v>
      </c>
      <c r="B38" s="67">
        <f t="shared" si="4"/>
        <v>15</v>
      </c>
      <c r="C38" s="189">
        <f>C37+Z19</f>
        <v>399.4819582834999</v>
      </c>
      <c r="D38" s="190"/>
      <c r="E38" s="180">
        <f t="shared" si="0"/>
        <v>1255.0095853851076</v>
      </c>
      <c r="F38" s="185"/>
      <c r="G38" s="179">
        <f>E38+2*E18</f>
        <v>18441.00958538511</v>
      </c>
      <c r="H38" s="180"/>
      <c r="I38" s="169">
        <f>IF(OR(N38="",N38&lt;1),"",INT(G38/10)*10+G66)</f>
      </c>
      <c r="J38" s="170"/>
      <c r="K38" s="64">
        <f>IF(OR(L38="",L38&lt;1),"",arrange_tube_SnT(T12,"Plain",O14,0,O16,O17,0,S17,T18,U17,V18,S20,B38,T12/2,0,31))</f>
      </c>
      <c r="L38" s="142"/>
      <c r="M38" s="142"/>
      <c r="N38" s="120"/>
      <c r="O38" s="121"/>
      <c r="P38" s="77">
        <f>IF(OR(L38="",L38&lt;1),"",U15*G38/1000)</f>
      </c>
      <c r="Q38" s="138">
        <f t="shared" si="1"/>
      </c>
      <c r="R38" s="139"/>
      <c r="S38" s="77">
        <f>IF(OR(I38="",I38&lt;1),"",U15*I38/1000)</f>
      </c>
      <c r="T38" s="138">
        <f t="shared" si="2"/>
      </c>
      <c r="U38" s="139"/>
      <c r="V38" s="113"/>
      <c r="W38" s="114"/>
      <c r="Y38" s="157">
        <f>PI()*O14*(2*F14+E38)/10^6</f>
        <v>1.0925137662887179</v>
      </c>
      <c r="Z38" s="158"/>
      <c r="AA38" s="159">
        <f t="shared" si="3"/>
        <v>0</v>
      </c>
      <c r="AB38" s="160"/>
      <c r="AC38" s="7"/>
      <c r="AD38" s="7"/>
      <c r="AE38" s="7"/>
      <c r="AF38" s="7"/>
      <c r="AG38" s="7"/>
      <c r="AH38" s="7"/>
      <c r="AI38" s="7"/>
    </row>
    <row r="39" spans="1:35" ht="11.25" customHeight="1">
      <c r="A39" s="3">
        <v>37</v>
      </c>
      <c r="B39" s="67">
        <f t="shared" si="4"/>
        <v>16</v>
      </c>
      <c r="C39" s="189">
        <f>C38+Z19</f>
        <v>423.7306695894642</v>
      </c>
      <c r="D39" s="190"/>
      <c r="E39" s="180">
        <f t="shared" si="0"/>
        <v>1331.1891586829447</v>
      </c>
      <c r="F39" s="185"/>
      <c r="G39" s="179">
        <f>E39+2*E18</f>
        <v>18517.189158682944</v>
      </c>
      <c r="H39" s="180"/>
      <c r="I39" s="169">
        <f>IF(OR(N39="",N39&lt;1),"",INT(G39/10)*10+G66)</f>
      </c>
      <c r="J39" s="170"/>
      <c r="K39" s="64">
        <f>IF(OR(L39="",L39&lt;1),"",arrange_tube_SnT(T12,"Plain",O14,0,O16,O17,0,S17,T18,U17,V18,S20,B39,T12/2,0,31))</f>
      </c>
      <c r="L39" s="142"/>
      <c r="M39" s="142"/>
      <c r="N39" s="120"/>
      <c r="O39" s="121"/>
      <c r="P39" s="77">
        <f>IF(OR(L39="",L39&lt;1),"",U15*G39/1000)</f>
      </c>
      <c r="Q39" s="138">
        <f t="shared" si="1"/>
      </c>
      <c r="R39" s="139"/>
      <c r="S39" s="77">
        <f>IF(OR(I39="",I39&lt;1),"",U15*I39/1000)</f>
      </c>
      <c r="T39" s="138">
        <f t="shared" si="2"/>
      </c>
      <c r="U39" s="139"/>
      <c r="V39" s="113"/>
      <c r="W39" s="114"/>
      <c r="Y39" s="157">
        <f>PI()*O14*(2*F14+E39)/10^6</f>
        <v>1.097072911116805</v>
      </c>
      <c r="Z39" s="158"/>
      <c r="AA39" s="159">
        <f t="shared" si="3"/>
        <v>0</v>
      </c>
      <c r="AB39" s="160"/>
      <c r="AC39" s="7"/>
      <c r="AD39" s="7"/>
      <c r="AE39" s="7"/>
      <c r="AF39" s="7"/>
      <c r="AG39" s="7"/>
      <c r="AH39" s="7"/>
      <c r="AI39" s="7"/>
    </row>
    <row r="40" spans="1:35" ht="11.25" customHeight="1">
      <c r="A40" s="3">
        <v>38</v>
      </c>
      <c r="B40" s="67">
        <f t="shared" si="4"/>
        <v>17</v>
      </c>
      <c r="C40" s="189">
        <f>C39+Z19</f>
        <v>447.97938089542845</v>
      </c>
      <c r="D40" s="190"/>
      <c r="E40" s="180">
        <f t="shared" si="0"/>
        <v>1407.3687319807818</v>
      </c>
      <c r="F40" s="185"/>
      <c r="G40" s="179">
        <f>E40+2*E18</f>
        <v>18593.368731980783</v>
      </c>
      <c r="H40" s="180"/>
      <c r="I40" s="169">
        <f>IF(OR(N40="",N40&lt;1),"",INT(G40/10)*10+G66)</f>
      </c>
      <c r="J40" s="170"/>
      <c r="K40" s="64">
        <f>IF(OR(L40="",L40&lt;1),"",arrange_tube_SnT(T12,"Plain",O14,0,O16,O17,0,S17,T18,U17,V18,S20,B40,T12/2,0,31))</f>
      </c>
      <c r="L40" s="142"/>
      <c r="M40" s="142"/>
      <c r="N40" s="120"/>
      <c r="O40" s="121"/>
      <c r="P40" s="77">
        <f>IF(OR(L40="",L40&lt;1),"",U15*G40/1000)</f>
      </c>
      <c r="Q40" s="138">
        <f t="shared" si="1"/>
      </c>
      <c r="R40" s="139"/>
      <c r="S40" s="77">
        <f>IF(OR(I40="",I40&lt;1),"",U15*I40/1000)</f>
      </c>
      <c r="T40" s="138">
        <f t="shared" si="2"/>
      </c>
      <c r="U40" s="139"/>
      <c r="V40" s="113"/>
      <c r="W40" s="114"/>
      <c r="Y40" s="157">
        <f>PI()*O14*(2*F14+E40)/10^6</f>
        <v>1.1016320559448922</v>
      </c>
      <c r="Z40" s="158"/>
      <c r="AA40" s="159">
        <f t="shared" si="3"/>
        <v>0</v>
      </c>
      <c r="AB40" s="160"/>
      <c r="AC40" s="7"/>
      <c r="AD40" s="7"/>
      <c r="AE40" s="7"/>
      <c r="AF40" s="7"/>
      <c r="AG40" s="7"/>
      <c r="AH40" s="7"/>
      <c r="AI40" s="7"/>
    </row>
    <row r="41" spans="1:35" ht="11.25" customHeight="1">
      <c r="A41" s="3">
        <v>39</v>
      </c>
      <c r="B41" s="67">
        <f t="shared" si="4"/>
        <v>18</v>
      </c>
      <c r="C41" s="189">
        <f>C40+Z19</f>
        <v>472.2280922013927</v>
      </c>
      <c r="D41" s="190"/>
      <c r="E41" s="180">
        <f t="shared" si="0"/>
        <v>1483.5483052786187</v>
      </c>
      <c r="F41" s="185"/>
      <c r="G41" s="179">
        <f>E41+2*E18</f>
        <v>18669.54830527862</v>
      </c>
      <c r="H41" s="180"/>
      <c r="I41" s="169">
        <f>IF(OR(N41="",N41&lt;1),"",INT(G41/10)*10+G66)</f>
      </c>
      <c r="J41" s="170"/>
      <c r="K41" s="64">
        <f>IF(OR(L41="",L41&lt;1),"",arrange_tube_SnT(T12,"Plain",O14,0,O16,O17,0,S17,T18,U17,V18,S20,B41,T12/2,0,31))</f>
      </c>
      <c r="L41" s="142"/>
      <c r="M41" s="142"/>
      <c r="N41" s="142"/>
      <c r="O41" s="154"/>
      <c r="P41" s="77">
        <f>IF(OR(L41="",L41&lt;1),"",U15*G41/1000)</f>
      </c>
      <c r="Q41" s="138">
        <f t="shared" si="1"/>
      </c>
      <c r="R41" s="139"/>
      <c r="S41" s="77">
        <f>IF(OR(I41="",I41&lt;1),"",U15*I41/1000)</f>
      </c>
      <c r="T41" s="138">
        <f t="shared" si="2"/>
      </c>
      <c r="U41" s="139"/>
      <c r="V41" s="113"/>
      <c r="W41" s="114"/>
      <c r="Y41" s="157">
        <f>PI()*O14*(2*F14+E41)/10^6</f>
        <v>1.106191200772979</v>
      </c>
      <c r="Z41" s="158"/>
      <c r="AA41" s="159">
        <f t="shared" si="3"/>
        <v>0</v>
      </c>
      <c r="AB41" s="160"/>
      <c r="AC41" s="7"/>
      <c r="AD41" s="7"/>
      <c r="AE41" s="7"/>
      <c r="AF41" s="7"/>
      <c r="AG41" s="7"/>
      <c r="AH41" s="7"/>
      <c r="AI41" s="7"/>
    </row>
    <row r="42" spans="1:35" ht="11.25" customHeight="1">
      <c r="A42" s="3">
        <v>40</v>
      </c>
      <c r="B42" s="67">
        <f t="shared" si="4"/>
        <v>19</v>
      </c>
      <c r="C42" s="189">
        <f>C41+Z19</f>
        <v>496.476803507357</v>
      </c>
      <c r="D42" s="190"/>
      <c r="E42" s="180">
        <f t="shared" si="0"/>
        <v>1559.7278785764559</v>
      </c>
      <c r="F42" s="185"/>
      <c r="G42" s="179">
        <f>E42+2*E18</f>
        <v>18745.727878576457</v>
      </c>
      <c r="H42" s="180"/>
      <c r="I42" s="169">
        <f>IF(OR(N42="",N42&lt;1),"",INT(G42/10)*10+G66)</f>
      </c>
      <c r="J42" s="170"/>
      <c r="K42" s="64">
        <f>IF(OR(L42="",L42&lt;1),"",arrange_tube_SnT(T12,"Plain",O14,0,O16,O17,0,S17,T18,U17,V18,S20,B42,T12/2,0,31))</f>
      </c>
      <c r="L42" s="142"/>
      <c r="M42" s="142"/>
      <c r="N42" s="120"/>
      <c r="O42" s="121"/>
      <c r="P42" s="77">
        <f>IF(OR(L42="",L42&lt;1),"",U15*G42/1000)</f>
      </c>
      <c r="Q42" s="138">
        <f t="shared" si="1"/>
      </c>
      <c r="R42" s="139"/>
      <c r="S42" s="77">
        <f>IF(OR(I42="",I42&lt;1),"",U15*I42/1000)</f>
      </c>
      <c r="T42" s="138">
        <f t="shared" si="2"/>
      </c>
      <c r="U42" s="139"/>
      <c r="V42" s="113"/>
      <c r="W42" s="114"/>
      <c r="Y42" s="157">
        <f>PI()*O14*(2*F14+E42)/10^6</f>
        <v>1.1107503456010663</v>
      </c>
      <c r="Z42" s="158"/>
      <c r="AA42" s="159">
        <f t="shared" si="3"/>
        <v>0</v>
      </c>
      <c r="AB42" s="160"/>
      <c r="AC42" s="7"/>
      <c r="AD42" s="7"/>
      <c r="AE42" s="7"/>
      <c r="AF42" s="7"/>
      <c r="AG42" s="7"/>
      <c r="AH42" s="7"/>
      <c r="AI42" s="7"/>
    </row>
    <row r="43" spans="1:35" ht="11.25" customHeight="1">
      <c r="A43" s="3">
        <v>41</v>
      </c>
      <c r="B43" s="68">
        <f t="shared" si="4"/>
        <v>20</v>
      </c>
      <c r="C43" s="194">
        <f>C42+Z19</f>
        <v>520.7255148133213</v>
      </c>
      <c r="D43" s="195"/>
      <c r="E43" s="182">
        <f t="shared" si="0"/>
        <v>1635.9074518742932</v>
      </c>
      <c r="F43" s="187"/>
      <c r="G43" s="181">
        <f>E43+2*E18</f>
        <v>18821.907451874293</v>
      </c>
      <c r="H43" s="182"/>
      <c r="I43" s="173">
        <f>IF(OR(N43="",N43&lt;1),"",INT(G43/10)*10+G66)</f>
      </c>
      <c r="J43" s="174"/>
      <c r="K43" s="65">
        <f>IF(OR(L43="",L43&lt;1),"",arrange_tube_SnT(T12,"Plain",O14,0,O16,O17,0,S17,T18,U17,V18,S20,B43,T12/2,0,31))</f>
      </c>
      <c r="L43" s="143"/>
      <c r="M43" s="143"/>
      <c r="N43" s="144"/>
      <c r="O43" s="145"/>
      <c r="P43" s="80">
        <f>IF(OR(L43="",L43&lt;1),"",U15*G43/1000)</f>
      </c>
      <c r="Q43" s="140">
        <f t="shared" si="1"/>
      </c>
      <c r="R43" s="141"/>
      <c r="S43" s="80">
        <f>IF(OR(I43="",I43&lt;1),"",U15*I43/1000)</f>
      </c>
      <c r="T43" s="140">
        <f t="shared" si="2"/>
      </c>
      <c r="U43" s="141"/>
      <c r="V43" s="124"/>
      <c r="W43" s="125"/>
      <c r="Y43" s="161">
        <f>PI()*O14*(2*F14+E43)/10^6</f>
        <v>1.115309490429153</v>
      </c>
      <c r="Z43" s="162"/>
      <c r="AA43" s="163">
        <f t="shared" si="3"/>
        <v>0</v>
      </c>
      <c r="AB43" s="164"/>
      <c r="AC43" s="8"/>
      <c r="AD43" s="8"/>
      <c r="AE43" s="8"/>
      <c r="AF43" s="8"/>
      <c r="AG43" s="8"/>
      <c r="AH43" s="8"/>
      <c r="AI43" s="8"/>
    </row>
    <row r="44" spans="1:35" ht="11.25" customHeight="1">
      <c r="A44" s="3">
        <v>42</v>
      </c>
      <c r="B44" s="69">
        <f t="shared" si="4"/>
        <v>21</v>
      </c>
      <c r="C44" s="196">
        <f>C43+Z19</f>
        <v>544.9742261192856</v>
      </c>
      <c r="D44" s="197"/>
      <c r="E44" s="184">
        <f t="shared" si="0"/>
        <v>1712.0870251721306</v>
      </c>
      <c r="F44" s="188"/>
      <c r="G44" s="183">
        <f>E44+2*E18</f>
        <v>18898.08702517213</v>
      </c>
      <c r="H44" s="184"/>
      <c r="I44" s="175">
        <f>IF(OR(N44="",N44&lt;1),"",INT(G44/10)*10+G66)</f>
      </c>
      <c r="J44" s="176"/>
      <c r="K44" s="70">
        <f>IF(OR(L44="",L44&lt;1),"",arrange_tube_SnT(T12,"Plain",O14,0,O16,O17,0,S17,T18,U17,V18,S20,B44,T12/2,0,31))</f>
      </c>
      <c r="L44" s="155"/>
      <c r="M44" s="155"/>
      <c r="N44" s="152"/>
      <c r="O44" s="153"/>
      <c r="P44" s="76">
        <f>IF(OR(L44="",L44&lt;1),"",U15*G44/1000)</f>
      </c>
      <c r="Q44" s="150">
        <f t="shared" si="1"/>
      </c>
      <c r="R44" s="151"/>
      <c r="S44" s="79">
        <f>IF(OR(I44="",I44&lt;1),"",U15*I44/1000)</f>
      </c>
      <c r="T44" s="150">
        <f t="shared" si="2"/>
      </c>
      <c r="U44" s="151"/>
      <c r="V44" s="126"/>
      <c r="W44" s="127"/>
      <c r="X44" s="37"/>
      <c r="Y44" s="165">
        <f>PI()*O14*(2*F14+E44)/10^6</f>
        <v>1.1198686352572402</v>
      </c>
      <c r="Z44" s="166"/>
      <c r="AA44" s="167">
        <f t="shared" si="3"/>
        <v>0</v>
      </c>
      <c r="AB44" s="168"/>
      <c r="AC44" s="11"/>
      <c r="AD44" s="11"/>
      <c r="AE44" s="11"/>
      <c r="AF44" s="11"/>
      <c r="AG44" s="11"/>
      <c r="AH44" s="11"/>
      <c r="AI44" s="11"/>
    </row>
    <row r="45" spans="1:35" ht="11.25" customHeight="1">
      <c r="A45" s="3">
        <v>43</v>
      </c>
      <c r="B45" s="67">
        <f t="shared" si="4"/>
        <v>22</v>
      </c>
      <c r="C45" s="189">
        <f>C44+Z19</f>
        <v>569.2229374252499</v>
      </c>
      <c r="D45" s="190"/>
      <c r="E45" s="180">
        <f t="shared" si="0"/>
        <v>1788.2665984699677</v>
      </c>
      <c r="F45" s="185"/>
      <c r="G45" s="179">
        <f>E45+2*E18</f>
        <v>18974.266598469967</v>
      </c>
      <c r="H45" s="180"/>
      <c r="I45" s="169">
        <f>IF(OR(N45="",N45&lt;1),"",INT(G45/10)*10+G66)</f>
      </c>
      <c r="J45" s="170"/>
      <c r="K45" s="64">
        <f>IF(OR(L45="",L45&lt;1),"",arrange_tube_SnT(T12,"Plain",O14,0,O16,O17,0,S17,T18,U17,V18,S20,B45,T12/2,0,31))</f>
      </c>
      <c r="L45" s="142"/>
      <c r="M45" s="142"/>
      <c r="N45" s="142"/>
      <c r="O45" s="154"/>
      <c r="P45" s="77">
        <f>IF(OR(L45="",L45&lt;1),"",U15*G45/1000)</f>
      </c>
      <c r="Q45" s="138">
        <f t="shared" si="1"/>
      </c>
      <c r="R45" s="139"/>
      <c r="S45" s="77">
        <f>IF(OR(I45="",I45&lt;1),"",U15*I45/1000)</f>
      </c>
      <c r="T45" s="138">
        <f t="shared" si="2"/>
      </c>
      <c r="U45" s="139"/>
      <c r="V45" s="113"/>
      <c r="W45" s="114"/>
      <c r="X45" s="19"/>
      <c r="Y45" s="157">
        <f>PI()*O14*(2*F14+E45)/10^6</f>
        <v>1.124427780085327</v>
      </c>
      <c r="Z45" s="158"/>
      <c r="AA45" s="159">
        <f t="shared" si="3"/>
        <v>0</v>
      </c>
      <c r="AB45" s="160"/>
      <c r="AC45" s="7"/>
      <c r="AD45" s="7"/>
      <c r="AE45" s="7"/>
      <c r="AF45" s="7"/>
      <c r="AG45" s="7"/>
      <c r="AH45" s="7"/>
      <c r="AI45" s="7"/>
    </row>
    <row r="46" spans="1:35" ht="11.25" customHeight="1">
      <c r="A46" s="3">
        <v>44</v>
      </c>
      <c r="B46" s="67">
        <f t="shared" si="4"/>
        <v>23</v>
      </c>
      <c r="C46" s="189">
        <f>C45+Z19</f>
        <v>593.4716487312143</v>
      </c>
      <c r="D46" s="190"/>
      <c r="E46" s="180">
        <f t="shared" si="0"/>
        <v>1864.446171767805</v>
      </c>
      <c r="F46" s="185"/>
      <c r="G46" s="179">
        <f>E46+2*E18</f>
        <v>19050.446171767806</v>
      </c>
      <c r="H46" s="180"/>
      <c r="I46" s="169">
        <f>IF(OR(N46="",N46&lt;1),"",INT(G46/10)*10+G66)</f>
      </c>
      <c r="J46" s="170"/>
      <c r="K46" s="64">
        <f>IF(OR(L46="",L46&lt;1),"",arrange_tube_SnT(T12,"Plain",O14,0,O16,O17,0,S17,T18,U17,V18,S20,B46,T12/2,0,31))</f>
      </c>
      <c r="L46" s="142"/>
      <c r="M46" s="142"/>
      <c r="N46" s="120"/>
      <c r="O46" s="121"/>
      <c r="P46" s="77">
        <f>IF(OR(L46="",L46&lt;1),"",U15*G46/1000)</f>
      </c>
      <c r="Q46" s="138">
        <f t="shared" si="1"/>
      </c>
      <c r="R46" s="139"/>
      <c r="S46" s="77">
        <f>IF(OR(I46="",I46&lt;1),"",U15*I46/1000)</f>
      </c>
      <c r="T46" s="138">
        <f t="shared" si="2"/>
      </c>
      <c r="U46" s="139"/>
      <c r="V46" s="113"/>
      <c r="W46" s="114"/>
      <c r="X46" s="19"/>
      <c r="Y46" s="157">
        <f>PI()*O14*(2*F14+E46)/10^6</f>
        <v>1.1289869249134143</v>
      </c>
      <c r="Z46" s="158"/>
      <c r="AA46" s="159">
        <f t="shared" si="3"/>
        <v>0</v>
      </c>
      <c r="AB46" s="160"/>
      <c r="AC46" s="7"/>
      <c r="AD46" s="7"/>
      <c r="AE46" s="7"/>
      <c r="AF46" s="7"/>
      <c r="AG46" s="7"/>
      <c r="AH46" s="7"/>
      <c r="AI46" s="7"/>
    </row>
    <row r="47" spans="1:35" ht="11.25" customHeight="1">
      <c r="A47" s="3">
        <v>45</v>
      </c>
      <c r="B47" s="67">
        <f t="shared" si="4"/>
        <v>24</v>
      </c>
      <c r="C47" s="189">
        <f>C46+Z19</f>
        <v>617.7203600371786</v>
      </c>
      <c r="D47" s="190"/>
      <c r="E47" s="180">
        <f t="shared" si="0"/>
        <v>1940.6257450656421</v>
      </c>
      <c r="F47" s="185"/>
      <c r="G47" s="179">
        <f>E47+2*E18</f>
        <v>19126.62574506564</v>
      </c>
      <c r="H47" s="180"/>
      <c r="I47" s="169">
        <f>IF(OR(N47="",N47&lt;1),"",INT(G47/10)*10+G66)</f>
      </c>
      <c r="J47" s="170"/>
      <c r="K47" s="64">
        <f>IF(OR(L47="",L47&lt;1),"",arrange_tube_SnT(T12,"Plain",O14,0,O16,O17,0,S17,T18,U17,V18,S20,B47,T12/2,0,31))</f>
      </c>
      <c r="L47" s="142"/>
      <c r="M47" s="142"/>
      <c r="N47" s="120"/>
      <c r="O47" s="121"/>
      <c r="P47" s="77">
        <f>IF(OR(L47="",L47&lt;1),"",U15*G47/1000)</f>
      </c>
      <c r="Q47" s="138">
        <f t="shared" si="1"/>
      </c>
      <c r="R47" s="139"/>
      <c r="S47" s="77">
        <f>IF(OR(I47="",I47&lt;1),"",U15*I47/1000)</f>
      </c>
      <c r="T47" s="138">
        <f t="shared" si="2"/>
      </c>
      <c r="U47" s="139"/>
      <c r="V47" s="113"/>
      <c r="W47" s="114"/>
      <c r="X47" s="19"/>
      <c r="Y47" s="157">
        <f>PI()*O14*(2*F14+E47)/10^6</f>
        <v>1.1335460697415012</v>
      </c>
      <c r="Z47" s="158"/>
      <c r="AA47" s="159">
        <f t="shared" si="3"/>
        <v>0</v>
      </c>
      <c r="AB47" s="160"/>
      <c r="AC47" s="7"/>
      <c r="AD47" s="7"/>
      <c r="AE47" s="7"/>
      <c r="AF47" s="7"/>
      <c r="AG47" s="7"/>
      <c r="AH47" s="7"/>
      <c r="AI47" s="7"/>
    </row>
    <row r="48" spans="1:35" ht="11.25" customHeight="1">
      <c r="A48" s="3">
        <v>46</v>
      </c>
      <c r="B48" s="67">
        <f t="shared" si="4"/>
        <v>25</v>
      </c>
      <c r="C48" s="189">
        <f>C47+Z19</f>
        <v>641.9690713431429</v>
      </c>
      <c r="D48" s="190"/>
      <c r="E48" s="180">
        <f t="shared" si="0"/>
        <v>2016.8053183634795</v>
      </c>
      <c r="F48" s="185"/>
      <c r="G48" s="179">
        <f>E48+2*E18</f>
        <v>19202.80531836348</v>
      </c>
      <c r="H48" s="180"/>
      <c r="I48" s="169">
        <f>IF(OR(N48="",N48&lt;1),"",INT(G48/10)*10+G66)</f>
      </c>
      <c r="J48" s="170"/>
      <c r="K48" s="64">
        <f>IF(OR(L48="",L48&lt;1),"",arrange_tube_SnT(T12,"Plain",O14,0,O16,O17,0,S17,T18,U17,V18,S20,B48,T12/2,0,31))</f>
      </c>
      <c r="L48" s="142"/>
      <c r="M48" s="142"/>
      <c r="N48" s="142"/>
      <c r="O48" s="154"/>
      <c r="P48" s="77">
        <f>IF(OR(L48="",L48&lt;1),"",U15*G48/1000)</f>
      </c>
      <c r="Q48" s="138">
        <f t="shared" si="1"/>
      </c>
      <c r="R48" s="139"/>
      <c r="S48" s="77">
        <f>IF(OR(I48="",I48&lt;1),"",U15*I48/1000)</f>
      </c>
      <c r="T48" s="138">
        <f t="shared" si="2"/>
      </c>
      <c r="U48" s="139"/>
      <c r="V48" s="113">
        <v>20</v>
      </c>
      <c r="W48" s="114"/>
      <c r="X48" s="19"/>
      <c r="Y48" s="157">
        <f>PI()*O14*(2*F14+E48)/10^6</f>
        <v>1.1381052145695882</v>
      </c>
      <c r="Z48" s="158"/>
      <c r="AA48" s="159">
        <f t="shared" si="3"/>
        <v>0</v>
      </c>
      <c r="AB48" s="160"/>
      <c r="AC48" s="7"/>
      <c r="AD48" s="7"/>
      <c r="AE48" s="7"/>
      <c r="AF48" s="7"/>
      <c r="AG48" s="7"/>
      <c r="AH48" s="7"/>
      <c r="AI48" s="7"/>
    </row>
    <row r="49" spans="1:35" ht="11.25" customHeight="1">
      <c r="A49" s="3">
        <v>47</v>
      </c>
      <c r="B49" s="67">
        <f t="shared" si="4"/>
        <v>26</v>
      </c>
      <c r="C49" s="189">
        <f>C48+Z19</f>
        <v>666.2177826491072</v>
      </c>
      <c r="D49" s="190"/>
      <c r="E49" s="180">
        <f t="shared" si="0"/>
        <v>2092.984891661317</v>
      </c>
      <c r="F49" s="185"/>
      <c r="G49" s="179">
        <f>E49+2*E18</f>
        <v>19278.984891661315</v>
      </c>
      <c r="H49" s="180"/>
      <c r="I49" s="169">
        <f>IF(OR(N49="",N49&lt;1),"",INT(G49/10)*10+G66)</f>
      </c>
      <c r="J49" s="170"/>
      <c r="K49" s="64">
        <f>IF(OR(L49="",L49&lt;1),"",arrange_tube_SnT(T12,"Plain",O14,0,O16,O17,0,S17,T18,U17,V18,S20,B49,T12/2,0,31))</f>
      </c>
      <c r="L49" s="142"/>
      <c r="M49" s="142"/>
      <c r="N49" s="120"/>
      <c r="O49" s="121"/>
      <c r="P49" s="77">
        <f>IF(OR(L49="",L49&lt;1),"",U15*G49/1000)</f>
      </c>
      <c r="Q49" s="138">
        <f t="shared" si="1"/>
      </c>
      <c r="R49" s="139"/>
      <c r="S49" s="77">
        <f>IF(OR(I49="",I49&lt;1),"",U15*I49/1000)</f>
      </c>
      <c r="T49" s="138">
        <f t="shared" si="2"/>
      </c>
      <c r="U49" s="139"/>
      <c r="V49" s="113"/>
      <c r="W49" s="114"/>
      <c r="X49" s="19"/>
      <c r="Y49" s="157">
        <f>PI()*O14*(2*F14+E49)/10^6</f>
        <v>1.142664359397675</v>
      </c>
      <c r="Z49" s="158"/>
      <c r="AA49" s="159">
        <f t="shared" si="3"/>
        <v>0</v>
      </c>
      <c r="AB49" s="160"/>
      <c r="AC49" s="7"/>
      <c r="AD49" s="7"/>
      <c r="AE49" s="7"/>
      <c r="AF49" s="7"/>
      <c r="AG49" s="7"/>
      <c r="AH49" s="7"/>
      <c r="AI49" s="7"/>
    </row>
    <row r="50" spans="1:35" ht="11.25" customHeight="1">
      <c r="A50" s="3">
        <v>48</v>
      </c>
      <c r="B50" s="67">
        <f t="shared" si="4"/>
        <v>27</v>
      </c>
      <c r="C50" s="189">
        <f>C49+Z19</f>
        <v>690.4664939550715</v>
      </c>
      <c r="D50" s="190"/>
      <c r="E50" s="180">
        <f t="shared" si="0"/>
        <v>2169.164464959154</v>
      </c>
      <c r="F50" s="185"/>
      <c r="G50" s="179">
        <f>E50+2*E18</f>
        <v>19355.164464959154</v>
      </c>
      <c r="H50" s="180"/>
      <c r="I50" s="169">
        <f>IF(OR(N50="",N50&lt;1),"",INT(G50/10)*10+G66)</f>
      </c>
      <c r="J50" s="170"/>
      <c r="K50" s="64">
        <f>IF(OR(L50="",L50&lt;1),"",arrange_tube_SnT(T12,"Plain",O14,0,O16,O17,0,S17,T18,U17,V18,S20,B50,T12/2,0,31))</f>
      </c>
      <c r="L50" s="142"/>
      <c r="M50" s="142"/>
      <c r="N50" s="120"/>
      <c r="O50" s="121"/>
      <c r="P50" s="77">
        <f>IF(OR(L50="",L50&lt;1),"",U15*G50/1000)</f>
      </c>
      <c r="Q50" s="138">
        <f t="shared" si="1"/>
      </c>
      <c r="R50" s="139"/>
      <c r="S50" s="77">
        <f>IF(OR(I50="",I50&lt;1),"",U15*I50/1000)</f>
      </c>
      <c r="T50" s="138">
        <f t="shared" si="2"/>
      </c>
      <c r="U50" s="139"/>
      <c r="V50" s="113"/>
      <c r="W50" s="114"/>
      <c r="Y50" s="157">
        <f>PI()*O14*(2*F14+E50)/10^6</f>
        <v>1.1472235042257624</v>
      </c>
      <c r="Z50" s="158"/>
      <c r="AA50" s="159">
        <f t="shared" si="3"/>
        <v>0</v>
      </c>
      <c r="AB50" s="160"/>
      <c r="AC50" s="7"/>
      <c r="AD50" s="7"/>
      <c r="AE50" s="7"/>
      <c r="AF50" s="7"/>
      <c r="AG50" s="7"/>
      <c r="AH50" s="7"/>
      <c r="AI50" s="7"/>
    </row>
    <row r="51" spans="1:35" ht="11.25" customHeight="1">
      <c r="A51" s="3">
        <v>49</v>
      </c>
      <c r="B51" s="67">
        <f t="shared" si="4"/>
        <v>28</v>
      </c>
      <c r="C51" s="189">
        <f>C50+Z19</f>
        <v>714.7152052610359</v>
      </c>
      <c r="D51" s="190"/>
      <c r="E51" s="180">
        <f t="shared" si="0"/>
        <v>2245.344038256991</v>
      </c>
      <c r="F51" s="185"/>
      <c r="G51" s="179">
        <f>E51+2*E18</f>
        <v>19431.34403825699</v>
      </c>
      <c r="H51" s="180"/>
      <c r="I51" s="169">
        <f>IF(OR(N51="",N51&lt;1),"",INT(G51/10)*10+G66)</f>
      </c>
      <c r="J51" s="170"/>
      <c r="K51" s="64">
        <f>IF(OR(L51="",L51&lt;1),"",arrange_tube_SnT(T12,"Plain",O14,0,O16,O17,0,S17,T18,U17,V18,S20,B51,T12/2,0,31))</f>
      </c>
      <c r="L51" s="142"/>
      <c r="M51" s="142"/>
      <c r="N51" s="120"/>
      <c r="O51" s="121"/>
      <c r="P51" s="77">
        <f>IF(OR(L51="",L51&lt;1),"",U15*G51/1000)</f>
      </c>
      <c r="Q51" s="138">
        <f t="shared" si="1"/>
      </c>
      <c r="R51" s="139"/>
      <c r="S51" s="77">
        <f>IF(OR(I51="",I51&lt;1),"",U15*I51/1000)</f>
      </c>
      <c r="T51" s="138">
        <f t="shared" si="2"/>
      </c>
      <c r="U51" s="139"/>
      <c r="V51" s="113"/>
      <c r="W51" s="114"/>
      <c r="Y51" s="157">
        <f>PI()*O14*(2*F14+E51)/10^6</f>
        <v>1.1517826490538492</v>
      </c>
      <c r="Z51" s="158"/>
      <c r="AA51" s="159">
        <f t="shared" si="3"/>
        <v>0</v>
      </c>
      <c r="AB51" s="160"/>
      <c r="AC51" s="7"/>
      <c r="AD51" s="7"/>
      <c r="AE51" s="7"/>
      <c r="AF51" s="7"/>
      <c r="AG51" s="7"/>
      <c r="AH51" s="7"/>
      <c r="AI51" s="7"/>
    </row>
    <row r="52" spans="1:35" ht="11.25" customHeight="1">
      <c r="A52" s="3">
        <v>50</v>
      </c>
      <c r="B52" s="67">
        <f t="shared" si="4"/>
        <v>29</v>
      </c>
      <c r="C52" s="189">
        <f>C51+Z19</f>
        <v>738.9639165670002</v>
      </c>
      <c r="D52" s="190"/>
      <c r="E52" s="180">
        <f t="shared" si="0"/>
        <v>2321.5236115548287</v>
      </c>
      <c r="F52" s="185"/>
      <c r="G52" s="179">
        <f>E52+2*E18</f>
        <v>19507.52361155483</v>
      </c>
      <c r="H52" s="180"/>
      <c r="I52" s="169">
        <f>IF(OR(N52="",N52&lt;1),"",INT(G52/10)*10+G66)</f>
      </c>
      <c r="J52" s="170"/>
      <c r="K52" s="64">
        <f>IF(OR(L52="",L52&lt;1),"",arrange_tube_SnT(T12,"Plain",O14,0,O16,O17,0,S17,T18,U17,V18,S20,B52,T12/2,0,31))</f>
      </c>
      <c r="L52" s="142"/>
      <c r="M52" s="142"/>
      <c r="N52" s="120"/>
      <c r="O52" s="121"/>
      <c r="P52" s="77">
        <f>IF(OR(L52="",L52&lt;1),"",U15*G52/1000)</f>
      </c>
      <c r="Q52" s="138">
        <f t="shared" si="1"/>
      </c>
      <c r="R52" s="139"/>
      <c r="S52" s="77">
        <f>IF(OR(I52="",I52&lt;1),"",U15*I52/1000)</f>
      </c>
      <c r="T52" s="138">
        <f t="shared" si="2"/>
      </c>
      <c r="U52" s="139"/>
      <c r="V52" s="113"/>
      <c r="W52" s="114"/>
      <c r="Y52" s="157">
        <f>PI()*O14*(2*F14+E52)/10^6</f>
        <v>1.1563417938819365</v>
      </c>
      <c r="Z52" s="158"/>
      <c r="AA52" s="159">
        <f t="shared" si="3"/>
        <v>0</v>
      </c>
      <c r="AB52" s="160"/>
      <c r="AC52" s="7"/>
      <c r="AD52" s="7"/>
      <c r="AE52" s="7"/>
      <c r="AF52" s="7"/>
      <c r="AG52" s="7"/>
      <c r="AH52" s="7"/>
      <c r="AI52" s="7"/>
    </row>
    <row r="53" spans="1:35" ht="11.25" customHeight="1">
      <c r="A53" s="3">
        <v>51</v>
      </c>
      <c r="B53" s="68">
        <f t="shared" si="4"/>
        <v>30</v>
      </c>
      <c r="C53" s="194">
        <f>C52+Z19</f>
        <v>763.2126278729645</v>
      </c>
      <c r="D53" s="195"/>
      <c r="E53" s="182">
        <f t="shared" si="0"/>
        <v>2397.703184852666</v>
      </c>
      <c r="F53" s="187"/>
      <c r="G53" s="181">
        <f>E53+2*E18</f>
        <v>19583.703184852668</v>
      </c>
      <c r="H53" s="182"/>
      <c r="I53" s="173">
        <f>IF(OR(N53="",N53&lt;1),"",INT(G53/10)*10+G66)</f>
      </c>
      <c r="J53" s="174"/>
      <c r="K53" s="65">
        <f>IF(OR(L53="",L53&lt;1),"",arrange_tube_SnT(T12,"Plain",O14,0,O16,O17,0,S17,T18,U17,V18,S20,B53,T12/2,0,31))</f>
      </c>
      <c r="L53" s="143"/>
      <c r="M53" s="143"/>
      <c r="N53" s="144"/>
      <c r="O53" s="145"/>
      <c r="P53" s="78">
        <f>IF(OR(L53="",L53&lt;1),"",U15*G53/1000)</f>
      </c>
      <c r="Q53" s="146">
        <f t="shared" si="1"/>
      </c>
      <c r="R53" s="147"/>
      <c r="S53" s="80">
        <f>IF(OR(I53="",I53&lt;1),"",U15*I53/1000)</f>
      </c>
      <c r="T53" s="146">
        <f t="shared" si="2"/>
      </c>
      <c r="U53" s="147"/>
      <c r="V53" s="122"/>
      <c r="W53" s="123"/>
      <c r="Y53" s="161">
        <f>PI()*O14*(2*F14+E53)/10^6</f>
        <v>1.1609009387100233</v>
      </c>
      <c r="Z53" s="162"/>
      <c r="AA53" s="163">
        <f t="shared" si="3"/>
        <v>0</v>
      </c>
      <c r="AB53" s="164"/>
      <c r="AC53" s="8"/>
      <c r="AD53" s="8"/>
      <c r="AE53" s="8"/>
      <c r="AF53" s="8"/>
      <c r="AG53" s="8"/>
      <c r="AH53" s="8"/>
      <c r="AI53" s="8"/>
    </row>
    <row r="54" spans="1:35" ht="11.25" customHeight="1">
      <c r="A54" s="3">
        <v>52</v>
      </c>
      <c r="B54" s="69">
        <f t="shared" si="4"/>
        <v>31</v>
      </c>
      <c r="C54" s="196">
        <f>C53+Z19</f>
        <v>787.4613391789288</v>
      </c>
      <c r="D54" s="197"/>
      <c r="E54" s="184">
        <f t="shared" si="0"/>
        <v>2473.882758150503</v>
      </c>
      <c r="F54" s="188"/>
      <c r="G54" s="183">
        <f>E54+2*E18</f>
        <v>19659.882758150503</v>
      </c>
      <c r="H54" s="184"/>
      <c r="I54" s="175">
        <f>IF(OR(N54="",N54&lt;1),"",INT(G54/10)*10+G66)</f>
      </c>
      <c r="J54" s="176"/>
      <c r="K54" s="70">
        <f>IF(OR(L54="",L54&lt;1),"",arrange_tube_SnT(T12,"Plain",O14,0,O16,O17,0,S17,T18,U17,V18,S20,B54,T12/2,0,31))</f>
      </c>
      <c r="L54" s="155"/>
      <c r="M54" s="155"/>
      <c r="N54" s="152"/>
      <c r="O54" s="153"/>
      <c r="P54" s="79">
        <f>IF(OR(L54="",L54&lt;1),"",U15*G54/1000)</f>
      </c>
      <c r="Q54" s="148">
        <f t="shared" si="1"/>
      </c>
      <c r="R54" s="149"/>
      <c r="S54" s="79">
        <f>IF(OR(I54="",I54&lt;1),"",U15*I54/1000)</f>
      </c>
      <c r="T54" s="148">
        <f t="shared" si="2"/>
      </c>
      <c r="U54" s="149"/>
      <c r="V54" s="118"/>
      <c r="W54" s="119"/>
      <c r="X54" s="37"/>
      <c r="Y54" s="165">
        <f>PI()*O14*(2*F14+E54)/10^6</f>
        <v>1.1654600835381104</v>
      </c>
      <c r="Z54" s="166"/>
      <c r="AA54" s="167">
        <f t="shared" si="3"/>
        <v>0</v>
      </c>
      <c r="AB54" s="168"/>
      <c r="AC54" s="11"/>
      <c r="AD54" s="11"/>
      <c r="AE54" s="11"/>
      <c r="AF54" s="11"/>
      <c r="AG54" s="11"/>
      <c r="AH54" s="11"/>
      <c r="AI54" s="11"/>
    </row>
    <row r="55" spans="1:35" ht="11.25" customHeight="1">
      <c r="A55" s="3">
        <v>53</v>
      </c>
      <c r="B55" s="67">
        <f t="shared" si="4"/>
        <v>32</v>
      </c>
      <c r="C55" s="189">
        <f>C54+Z19</f>
        <v>811.7100504848931</v>
      </c>
      <c r="D55" s="190"/>
      <c r="E55" s="180">
        <f t="shared" si="0"/>
        <v>2550.0623314483405</v>
      </c>
      <c r="F55" s="185"/>
      <c r="G55" s="179">
        <f>E55+2*E18</f>
        <v>19736.062331448342</v>
      </c>
      <c r="H55" s="180"/>
      <c r="I55" s="169">
        <f>IF(OR(N55="",N55&lt;1),"",INT(G55/10)*10+G66)</f>
      </c>
      <c r="J55" s="170"/>
      <c r="K55" s="64">
        <f>IF(OR(L55="",L55&lt;1),"",arrange_tube_SnT(T12,"Plain",O14,0,O16,O17,0,S17,T18,U17,V18,S20,B55,T12/2,0,31))</f>
      </c>
      <c r="L55" s="142"/>
      <c r="M55" s="142"/>
      <c r="N55" s="120"/>
      <c r="O55" s="121"/>
      <c r="P55" s="77">
        <f>IF(OR(L55="",L55&lt;1),"",U15*G55/1000)</f>
      </c>
      <c r="Q55" s="138">
        <f t="shared" si="1"/>
      </c>
      <c r="R55" s="139"/>
      <c r="S55" s="77">
        <f>IF(OR(I55="",I55&lt;1),"",U15*I55/1000)</f>
      </c>
      <c r="T55" s="138">
        <f t="shared" si="2"/>
      </c>
      <c r="U55" s="139"/>
      <c r="V55" s="113"/>
      <c r="W55" s="114"/>
      <c r="X55" s="19"/>
      <c r="Y55" s="157">
        <f>PI()*O14*(2*F14+E55)/10^6</f>
        <v>1.1700192283661977</v>
      </c>
      <c r="Z55" s="158"/>
      <c r="AA55" s="159">
        <f t="shared" si="3"/>
        <v>0</v>
      </c>
      <c r="AB55" s="160"/>
      <c r="AC55" s="7"/>
      <c r="AD55" s="7"/>
      <c r="AE55" s="7"/>
      <c r="AF55" s="7"/>
      <c r="AG55" s="7"/>
      <c r="AH55" s="7"/>
      <c r="AI55" s="7"/>
    </row>
    <row r="56" spans="1:35" ht="11.25" customHeight="1">
      <c r="A56" s="3">
        <v>54</v>
      </c>
      <c r="B56" s="67">
        <f t="shared" si="4"/>
        <v>33</v>
      </c>
      <c r="C56" s="189">
        <f>C55+Z19</f>
        <v>835.9587617908575</v>
      </c>
      <c r="D56" s="190"/>
      <c r="E56" s="180">
        <f t="shared" si="0"/>
        <v>2626.2419047461776</v>
      </c>
      <c r="F56" s="185"/>
      <c r="G56" s="179">
        <f>E56+2*E18</f>
        <v>19812.241904746177</v>
      </c>
      <c r="H56" s="180"/>
      <c r="I56" s="169">
        <f>IF(OR(N56="",N56&lt;1),"",INT(G56/10)*10+G66)</f>
      </c>
      <c r="J56" s="170"/>
      <c r="K56" s="64">
        <f>IF(OR(L56="",L56&lt;1),"",arrange_tube_SnT(T12,"Plain",O14,0,O16,O17,0,S17,T18,U17,V18,S20,B56,T12/2,0,31))</f>
      </c>
      <c r="L56" s="142"/>
      <c r="M56" s="142"/>
      <c r="N56" s="120"/>
      <c r="O56" s="121"/>
      <c r="P56" s="77">
        <f>IF(OR(L56="",L56&lt;1),"",U15*G56/1000)</f>
      </c>
      <c r="Q56" s="138">
        <f t="shared" si="1"/>
      </c>
      <c r="R56" s="139"/>
      <c r="S56" s="77">
        <f>IF(OR(I56="",I56&lt;1),"",U15*I56/1000)</f>
      </c>
      <c r="T56" s="138">
        <f t="shared" si="2"/>
      </c>
      <c r="U56" s="139"/>
      <c r="V56" s="113"/>
      <c r="W56" s="114"/>
      <c r="X56" s="19"/>
      <c r="Y56" s="157">
        <f>PI()*O14*(2*F14+E56)/10^6</f>
        <v>1.1745783731942845</v>
      </c>
      <c r="Z56" s="158"/>
      <c r="AA56" s="159">
        <f t="shared" si="3"/>
        <v>0</v>
      </c>
      <c r="AB56" s="160"/>
      <c r="AC56" s="7"/>
      <c r="AD56" s="7"/>
      <c r="AE56" s="7"/>
      <c r="AF56" s="7"/>
      <c r="AG56" s="7"/>
      <c r="AH56" s="7"/>
      <c r="AI56" s="7"/>
    </row>
    <row r="57" spans="1:35" ht="11.25" customHeight="1">
      <c r="A57" s="3">
        <v>55</v>
      </c>
      <c r="B57" s="67">
        <f t="shared" si="4"/>
        <v>34</v>
      </c>
      <c r="C57" s="189">
        <f>C56+Z19</f>
        <v>860.2074730968218</v>
      </c>
      <c r="D57" s="190"/>
      <c r="E57" s="180">
        <f t="shared" si="0"/>
        <v>2702.4214780440147</v>
      </c>
      <c r="F57" s="185"/>
      <c r="G57" s="179">
        <f>E57+2*E18</f>
        <v>19888.421478044016</v>
      </c>
      <c r="H57" s="180"/>
      <c r="I57" s="169">
        <f>IF(OR(N57="",N57&lt;1),"",INT(G57/10)*10+G66)</f>
      </c>
      <c r="J57" s="170"/>
      <c r="K57" s="64">
        <f>IF(OR(L57="",L57&lt;1),"",arrange_tube_SnT(T12,"Plain",O14,0,O16,O17,0,S17,T18,U17,V18,S20,B57,T12/2,0,31))</f>
      </c>
      <c r="L57" s="142"/>
      <c r="M57" s="142"/>
      <c r="N57" s="120"/>
      <c r="O57" s="121"/>
      <c r="P57" s="77">
        <f>IF(OR(L57="",L57&lt;1),"",U15*G57/1000)</f>
      </c>
      <c r="Q57" s="138">
        <f t="shared" si="1"/>
      </c>
      <c r="R57" s="139"/>
      <c r="S57" s="77">
        <f>IF(OR(I57="",I57&lt;1),"",U15*I57/1000)</f>
      </c>
      <c r="T57" s="138">
        <f t="shared" si="2"/>
      </c>
      <c r="U57" s="139"/>
      <c r="V57" s="113"/>
      <c r="W57" s="114"/>
      <c r="Y57" s="157">
        <f>PI()*O14*(2*F14+E57)/10^6</f>
        <v>1.1791375180223718</v>
      </c>
      <c r="Z57" s="158"/>
      <c r="AA57" s="159">
        <f t="shared" si="3"/>
        <v>0</v>
      </c>
      <c r="AB57" s="160"/>
      <c r="AC57" s="7"/>
      <c r="AD57" s="7"/>
      <c r="AE57" s="7"/>
      <c r="AF57" s="7"/>
      <c r="AG57" s="7"/>
      <c r="AH57" s="7"/>
      <c r="AI57" s="7"/>
    </row>
    <row r="58" spans="1:35" ht="11.25" customHeight="1">
      <c r="A58" s="3">
        <v>56</v>
      </c>
      <c r="B58" s="67">
        <f t="shared" si="4"/>
        <v>35</v>
      </c>
      <c r="C58" s="189">
        <f>C57+Z19</f>
        <v>884.4561844027861</v>
      </c>
      <c r="D58" s="190"/>
      <c r="E58" s="180">
        <f t="shared" si="0"/>
        <v>2778.6010513418523</v>
      </c>
      <c r="F58" s="185"/>
      <c r="G58" s="179">
        <f>E58+2*E18</f>
        <v>19964.60105134185</v>
      </c>
      <c r="H58" s="180"/>
      <c r="I58" s="169">
        <f>IF(OR(N58="",N58&lt;1),"",INT(G58/10)*10+G66)</f>
      </c>
      <c r="J58" s="170"/>
      <c r="K58" s="64">
        <f>IF(OR(L58="",L58&lt;1),"",arrange_tube_SnT(T12,"Plain",O14,0,O16,O17,0,S17,T18,U17,V18,S20,B58,T12/2,0,31))</f>
      </c>
      <c r="L58" s="142"/>
      <c r="M58" s="142"/>
      <c r="N58" s="120"/>
      <c r="O58" s="121"/>
      <c r="P58" s="77">
        <f>IF(OR(L58="",L58&lt;1),"",U15*G58/1000)</f>
      </c>
      <c r="Q58" s="138">
        <f t="shared" si="1"/>
      </c>
      <c r="R58" s="139"/>
      <c r="S58" s="77">
        <f>IF(OR(I58="",I58&lt;1),"",U15*I58/1000)</f>
      </c>
      <c r="T58" s="138">
        <f t="shared" si="2"/>
      </c>
      <c r="U58" s="139"/>
      <c r="V58" s="113"/>
      <c r="W58" s="114"/>
      <c r="Y58" s="157">
        <f>PI()*O14*(2*F14+E58)/10^6</f>
        <v>1.1836966628504584</v>
      </c>
      <c r="Z58" s="158"/>
      <c r="AA58" s="159">
        <f t="shared" si="3"/>
        <v>0</v>
      </c>
      <c r="AB58" s="160"/>
      <c r="AC58" s="7"/>
      <c r="AD58" s="7"/>
      <c r="AE58" s="7"/>
      <c r="AF58" s="7"/>
      <c r="AG58" s="7"/>
      <c r="AH58" s="7"/>
      <c r="AI58" s="7"/>
    </row>
    <row r="59" spans="1:35" ht="11.25" customHeight="1">
      <c r="A59" s="3">
        <v>57</v>
      </c>
      <c r="B59" s="67">
        <f t="shared" si="4"/>
        <v>36</v>
      </c>
      <c r="C59" s="189">
        <f>C58+Z19</f>
        <v>908.7048957087504</v>
      </c>
      <c r="D59" s="190"/>
      <c r="E59" s="180">
        <f t="shared" si="0"/>
        <v>2854.7806246396894</v>
      </c>
      <c r="F59" s="185"/>
      <c r="G59" s="179">
        <f>E59+2*E18</f>
        <v>20040.78062463969</v>
      </c>
      <c r="H59" s="180"/>
      <c r="I59" s="169">
        <f>IF(OR(N59="",N59&lt;1),"",INT(G59/10)*10+G66)</f>
      </c>
      <c r="J59" s="170"/>
      <c r="K59" s="64">
        <f>IF(OR(L59="",L59&lt;1),"",arrange_tube_SnT(T12,"Plain",O14,0,O16,O17,0,S17,T18,U17,V18,S20,B59,T12/2,0,31))</f>
      </c>
      <c r="L59" s="142"/>
      <c r="M59" s="142"/>
      <c r="N59" s="120"/>
      <c r="O59" s="121"/>
      <c r="P59" s="77">
        <f>IF(OR(L59="",L59&lt;1),"",U15*G59/1000)</f>
      </c>
      <c r="Q59" s="138">
        <f t="shared" si="1"/>
      </c>
      <c r="R59" s="139"/>
      <c r="S59" s="77">
        <f>IF(OR(I59="",I59&lt;1),"",U15*I59/1000)</f>
      </c>
      <c r="T59" s="138">
        <f t="shared" si="2"/>
      </c>
      <c r="U59" s="139"/>
      <c r="V59" s="113"/>
      <c r="W59" s="114"/>
      <c r="Y59" s="157">
        <f>PI()*O14*(2*F14+E59)/10^6</f>
        <v>1.1882558076785457</v>
      </c>
      <c r="Z59" s="158"/>
      <c r="AA59" s="159">
        <f t="shared" si="3"/>
        <v>0</v>
      </c>
      <c r="AB59" s="160"/>
      <c r="AC59" s="7"/>
      <c r="AD59" s="7"/>
      <c r="AE59" s="7"/>
      <c r="AF59" s="7"/>
      <c r="AG59" s="7"/>
      <c r="AH59" s="7"/>
      <c r="AI59" s="7"/>
    </row>
    <row r="60" spans="1:35" ht="11.25" customHeight="1">
      <c r="A60" s="3">
        <v>58</v>
      </c>
      <c r="B60" s="68">
        <f t="shared" si="4"/>
        <v>37</v>
      </c>
      <c r="C60" s="191">
        <f>C59+Z19</f>
        <v>932.9536070147147</v>
      </c>
      <c r="D60" s="192"/>
      <c r="E60" s="178">
        <f t="shared" si="0"/>
        <v>2930.9601979375266</v>
      </c>
      <c r="F60" s="186"/>
      <c r="G60" s="177">
        <f>E60+2*E18</f>
        <v>20116.960197937526</v>
      </c>
      <c r="H60" s="178"/>
      <c r="I60" s="171">
        <f>IF(OR(N60="",N60&lt;1),"",INT(G60/10)*10+G66)</f>
      </c>
      <c r="J60" s="172"/>
      <c r="K60" s="65">
        <f>IF(OR(L60="",L60&lt;1),"",arrange_tube_SnT(T12,"Plain",O14,0,O16,O17,0,S17,T18,U17,V18,S20,B60,T12/2,0,31))</f>
      </c>
      <c r="L60" s="143"/>
      <c r="M60" s="143"/>
      <c r="N60" s="144"/>
      <c r="O60" s="145"/>
      <c r="P60" s="80">
        <f>IF(OR(L60="",L60&lt;1),"",U15*G60/1000)</f>
      </c>
      <c r="Q60" s="140">
        <f t="shared" si="1"/>
      </c>
      <c r="R60" s="141"/>
      <c r="S60" s="80">
        <f>IF(OR(I60="",I60&lt;1),"",U15*I60/1000)</f>
      </c>
      <c r="T60" s="140">
        <f t="shared" si="2"/>
      </c>
      <c r="U60" s="141"/>
      <c r="V60" s="113"/>
      <c r="W60" s="114"/>
      <c r="X60" s="19"/>
      <c r="Y60" s="161">
        <f>PI()*O14*(2*F14+E60)/10^6</f>
        <v>1.1928149525066325</v>
      </c>
      <c r="Z60" s="162"/>
      <c r="AA60" s="163">
        <f t="shared" si="3"/>
        <v>0</v>
      </c>
      <c r="AB60" s="164"/>
      <c r="AC60" s="8"/>
      <c r="AD60" s="8"/>
      <c r="AE60" s="8"/>
      <c r="AF60" s="8"/>
      <c r="AG60" s="8"/>
      <c r="AH60" s="8"/>
      <c r="AI60" s="8"/>
    </row>
    <row r="61" spans="1:35" ht="11.25" customHeight="1">
      <c r="A61" s="3">
        <v>59</v>
      </c>
      <c r="B61" s="136" t="s">
        <v>184</v>
      </c>
      <c r="C61" s="104"/>
      <c r="D61" s="104"/>
      <c r="E61" s="104"/>
      <c r="F61" s="42"/>
      <c r="G61" s="42"/>
      <c r="H61" s="42"/>
      <c r="I61" s="42"/>
      <c r="J61" s="42"/>
      <c r="K61" s="89">
        <f>SUM(K24:K60)</f>
        <v>524</v>
      </c>
      <c r="L61" s="261">
        <f>SUM(L24:M60)</f>
        <v>510</v>
      </c>
      <c r="M61" s="262"/>
      <c r="N61" s="109">
        <f>SUM(N24:O60)</f>
        <v>484</v>
      </c>
      <c r="O61" s="110"/>
      <c r="P61" s="92"/>
      <c r="Q61" s="109">
        <f>SUM(Q24:R60)</f>
        <v>7989.328482473281</v>
      </c>
      <c r="R61" s="110"/>
      <c r="S61" s="92"/>
      <c r="T61" s="109">
        <f>SUM(T24:U60)</f>
        <v>7675.785659567801</v>
      </c>
      <c r="U61" s="110"/>
      <c r="V61" s="132">
        <f>(T61/Q61-1)*100</f>
        <v>-3.924520359793937</v>
      </c>
      <c r="W61" s="134" t="s">
        <v>185</v>
      </c>
      <c r="X61" s="19"/>
      <c r="Y61" s="32"/>
      <c r="Z61" s="32"/>
      <c r="AA61" s="253">
        <f>SUM(AA24:AB60)</f>
        <v>536.7479336877602</v>
      </c>
      <c r="AB61" s="254"/>
      <c r="AC61" s="32"/>
      <c r="AD61" s="32"/>
      <c r="AE61" s="32"/>
      <c r="AF61" s="32"/>
      <c r="AG61" s="32"/>
      <c r="AH61" s="32"/>
      <c r="AI61" s="32"/>
    </row>
    <row r="62" spans="1:35" ht="11.25" customHeight="1">
      <c r="A62" s="16">
        <v>60</v>
      </c>
      <c r="B62" s="103"/>
      <c r="C62" s="137"/>
      <c r="D62" s="137"/>
      <c r="E62" s="137"/>
      <c r="F62" s="38"/>
      <c r="G62" s="38"/>
      <c r="H62" s="38"/>
      <c r="I62" s="38"/>
      <c r="J62" s="38"/>
      <c r="K62" s="90"/>
      <c r="L62" s="87"/>
      <c r="M62" s="91" t="s">
        <v>186</v>
      </c>
      <c r="N62" s="111">
        <f>N61+SUM(V24:W60)</f>
        <v>504</v>
      </c>
      <c r="O62" s="112"/>
      <c r="P62" s="93"/>
      <c r="Q62" s="115"/>
      <c r="R62" s="116"/>
      <c r="S62" s="93"/>
      <c r="T62" s="115"/>
      <c r="U62" s="116"/>
      <c r="V62" s="133"/>
      <c r="W62" s="135"/>
      <c r="X62" s="19"/>
      <c r="Y62" s="81"/>
      <c r="Z62" s="81"/>
      <c r="AA62" s="255"/>
      <c r="AB62" s="256"/>
      <c r="AC62" s="31"/>
      <c r="AD62" s="31"/>
      <c r="AE62" s="31"/>
      <c r="AF62" s="31"/>
      <c r="AG62" s="31"/>
      <c r="AH62" s="31"/>
      <c r="AI62" s="31"/>
    </row>
    <row r="63" spans="1:35" ht="11.25" customHeight="1">
      <c r="A63" s="3">
        <v>61</v>
      </c>
      <c r="B63" s="136" t="str">
        <f>" Total for "&amp;F9*K9&amp;" Shells"</f>
        <v> Total for 6 Shells</v>
      </c>
      <c r="C63" s="104"/>
      <c r="D63" s="104"/>
      <c r="E63" s="104"/>
      <c r="F63" s="42"/>
      <c r="G63" s="42"/>
      <c r="H63" s="42"/>
      <c r="I63" s="42"/>
      <c r="J63" s="42"/>
      <c r="K63" s="82"/>
      <c r="L63" s="83"/>
      <c r="M63" s="84"/>
      <c r="N63" s="109">
        <f>N61*F9*K9</f>
        <v>2904</v>
      </c>
      <c r="O63" s="110"/>
      <c r="P63" s="92"/>
      <c r="Q63" s="83"/>
      <c r="R63" s="85"/>
      <c r="S63" s="92"/>
      <c r="T63" s="109"/>
      <c r="U63" s="110"/>
      <c r="V63" s="94"/>
      <c r="W63" s="95"/>
      <c r="Y63" s="32"/>
      <c r="Z63" s="107" t="s">
        <v>205</v>
      </c>
      <c r="AA63" s="257">
        <f>PI()*O14*F14*L61*2/10^6</f>
        <v>518.8764382411779</v>
      </c>
      <c r="AB63" s="258"/>
      <c r="AC63" s="32"/>
      <c r="AD63" s="32"/>
      <c r="AE63" s="32"/>
      <c r="AF63" s="32"/>
      <c r="AG63" s="32"/>
      <c r="AH63" s="32"/>
      <c r="AI63" s="32"/>
    </row>
    <row r="64" spans="1:35" ht="11.25" customHeight="1">
      <c r="A64" s="3">
        <v>62</v>
      </c>
      <c r="B64" s="105"/>
      <c r="C64" s="106"/>
      <c r="D64" s="106"/>
      <c r="E64" s="106"/>
      <c r="F64" s="38"/>
      <c r="G64" s="38"/>
      <c r="H64" s="38"/>
      <c r="I64" s="38"/>
      <c r="J64" s="38"/>
      <c r="K64" s="86"/>
      <c r="L64" s="87"/>
      <c r="M64" s="91" t="s">
        <v>187</v>
      </c>
      <c r="N64" s="111">
        <f>N62*F9*K9</f>
        <v>3024</v>
      </c>
      <c r="O64" s="112"/>
      <c r="P64" s="93"/>
      <c r="Q64" s="87"/>
      <c r="R64" s="88"/>
      <c r="S64" s="93"/>
      <c r="T64" s="115"/>
      <c r="U64" s="116"/>
      <c r="V64" s="96"/>
      <c r="W64" s="97"/>
      <c r="Y64" s="48"/>
      <c r="Z64" s="108" t="s">
        <v>204</v>
      </c>
      <c r="AA64" s="259">
        <f>AA61-AA63</f>
        <v>17.871495446582344</v>
      </c>
      <c r="AB64" s="260"/>
      <c r="AC64" s="48">
        <f>AA64/AA61*100</f>
        <v>3.3295881222672095</v>
      </c>
      <c r="AD64" s="48" t="s">
        <v>206</v>
      </c>
      <c r="AE64" s="48"/>
      <c r="AF64" s="48"/>
      <c r="AG64" s="48"/>
      <c r="AH64" s="48"/>
      <c r="AI64" s="48"/>
    </row>
    <row r="65" spans="1:23" ht="11.25" customHeight="1">
      <c r="A65" s="3">
        <v>63</v>
      </c>
      <c r="B65" s="14" t="s">
        <v>200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5"/>
    </row>
    <row r="66" spans="1:23" ht="11.25" customHeight="1">
      <c r="A66" s="3">
        <v>64</v>
      </c>
      <c r="B66" s="100" t="s">
        <v>201</v>
      </c>
      <c r="C66" s="73" t="s">
        <v>188</v>
      </c>
      <c r="D66" s="7"/>
      <c r="E66" s="7"/>
      <c r="F66" s="7"/>
      <c r="G66" s="35">
        <v>200</v>
      </c>
      <c r="H66" s="7" t="s">
        <v>189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"/>
    </row>
    <row r="67" spans="1:23" ht="11.25" customHeight="1">
      <c r="A67" s="3">
        <v>65</v>
      </c>
      <c r="B67" s="100" t="s">
        <v>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"/>
    </row>
    <row r="68" spans="1:23" ht="11.25" customHeight="1">
      <c r="A68" s="3">
        <v>66</v>
      </c>
      <c r="B68" s="100" t="s">
        <v>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"/>
    </row>
    <row r="69" spans="1:23" ht="11.25" customHeight="1">
      <c r="A69" s="3">
        <v>67</v>
      </c>
      <c r="B69" s="100" t="s">
        <v>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"/>
    </row>
    <row r="70" spans="1:23" ht="11.25" customHeight="1">
      <c r="A70" s="3">
        <v>68</v>
      </c>
      <c r="B70" s="101" t="s">
        <v>203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</row>
    <row r="71" spans="2:23" ht="11.25" customHeight="1">
      <c r="B71" s="24" t="s">
        <v>199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V71" s="19"/>
      <c r="W71" s="102" t="s">
        <v>202</v>
      </c>
    </row>
  </sheetData>
  <mergeCells count="460">
    <mergeCell ref="N63:O63"/>
    <mergeCell ref="N64:O64"/>
    <mergeCell ref="V58:W58"/>
    <mergeCell ref="V59:W59"/>
    <mergeCell ref="V60:W60"/>
    <mergeCell ref="Q61:R62"/>
    <mergeCell ref="N58:O58"/>
    <mergeCell ref="L61:M61"/>
    <mergeCell ref="N61:O61"/>
    <mergeCell ref="V54:W54"/>
    <mergeCell ref="V55:W55"/>
    <mergeCell ref="V56:W56"/>
    <mergeCell ref="V57:W57"/>
    <mergeCell ref="T61:U62"/>
    <mergeCell ref="N62:O62"/>
    <mergeCell ref="N55:O55"/>
    <mergeCell ref="N56:O56"/>
    <mergeCell ref="V50:W50"/>
    <mergeCell ref="V51:W51"/>
    <mergeCell ref="V52:W52"/>
    <mergeCell ref="V53:W53"/>
    <mergeCell ref="V45:W45"/>
    <mergeCell ref="V46:W46"/>
    <mergeCell ref="V47:W47"/>
    <mergeCell ref="V49:W49"/>
    <mergeCell ref="V48:W48"/>
    <mergeCell ref="V41:W41"/>
    <mergeCell ref="V42:W42"/>
    <mergeCell ref="V43:W43"/>
    <mergeCell ref="V44:W44"/>
    <mergeCell ref="V37:W37"/>
    <mergeCell ref="V38:W38"/>
    <mergeCell ref="V39:W39"/>
    <mergeCell ref="V40:W40"/>
    <mergeCell ref="V33:W33"/>
    <mergeCell ref="V34:W34"/>
    <mergeCell ref="V35:W35"/>
    <mergeCell ref="V36:W36"/>
    <mergeCell ref="V29:W29"/>
    <mergeCell ref="V30:W30"/>
    <mergeCell ref="V31:W31"/>
    <mergeCell ref="V32:W32"/>
    <mergeCell ref="AA61:AB62"/>
    <mergeCell ref="T63:U64"/>
    <mergeCell ref="V61:V62"/>
    <mergeCell ref="W61:W62"/>
    <mergeCell ref="AA63:AB63"/>
    <mergeCell ref="AA64:AB64"/>
    <mergeCell ref="B63:E64"/>
    <mergeCell ref="B61:E62"/>
    <mergeCell ref="T58:U58"/>
    <mergeCell ref="T59:U59"/>
    <mergeCell ref="T60:U60"/>
    <mergeCell ref="L59:M59"/>
    <mergeCell ref="L60:M60"/>
    <mergeCell ref="Q60:R60"/>
    <mergeCell ref="N59:O59"/>
    <mergeCell ref="N60:O60"/>
    <mergeCell ref="V24:W24"/>
    <mergeCell ref="V25:W25"/>
    <mergeCell ref="V26:W26"/>
    <mergeCell ref="V27:W27"/>
    <mergeCell ref="T48:U48"/>
    <mergeCell ref="T49:U49"/>
    <mergeCell ref="T57:U57"/>
    <mergeCell ref="T50:U50"/>
    <mergeCell ref="T51:U51"/>
    <mergeCell ref="T52:U52"/>
    <mergeCell ref="T53:U53"/>
    <mergeCell ref="T54:U54"/>
    <mergeCell ref="T55:U55"/>
    <mergeCell ref="T56:U56"/>
    <mergeCell ref="T44:U44"/>
    <mergeCell ref="T45:U45"/>
    <mergeCell ref="T46:U46"/>
    <mergeCell ref="T47:U47"/>
    <mergeCell ref="T40:U40"/>
    <mergeCell ref="T41:U41"/>
    <mergeCell ref="T42:U42"/>
    <mergeCell ref="T43:U43"/>
    <mergeCell ref="T36:U36"/>
    <mergeCell ref="T37:U37"/>
    <mergeCell ref="T38:U38"/>
    <mergeCell ref="T39:U39"/>
    <mergeCell ref="T32:U32"/>
    <mergeCell ref="T33:U33"/>
    <mergeCell ref="T34:U34"/>
    <mergeCell ref="T35:U35"/>
    <mergeCell ref="N48:O48"/>
    <mergeCell ref="N49:O49"/>
    <mergeCell ref="N50:O50"/>
    <mergeCell ref="N57:O57"/>
    <mergeCell ref="N51:O51"/>
    <mergeCell ref="N52:O52"/>
    <mergeCell ref="N53:O53"/>
    <mergeCell ref="N54:O54"/>
    <mergeCell ref="N44:O44"/>
    <mergeCell ref="N45:O45"/>
    <mergeCell ref="N46:O46"/>
    <mergeCell ref="N47:O47"/>
    <mergeCell ref="N40:O40"/>
    <mergeCell ref="N41:O41"/>
    <mergeCell ref="N42:O42"/>
    <mergeCell ref="N43:O43"/>
    <mergeCell ref="N36:O36"/>
    <mergeCell ref="N37:O37"/>
    <mergeCell ref="N38:O38"/>
    <mergeCell ref="N39:O39"/>
    <mergeCell ref="N27:O27"/>
    <mergeCell ref="N28:O28"/>
    <mergeCell ref="N29:O29"/>
    <mergeCell ref="N35:O35"/>
    <mergeCell ref="N30:O30"/>
    <mergeCell ref="N31:O31"/>
    <mergeCell ref="N32:O32"/>
    <mergeCell ref="N33:O33"/>
    <mergeCell ref="N34:O34"/>
    <mergeCell ref="V28:W28"/>
    <mergeCell ref="Y59:Z59"/>
    <mergeCell ref="AA59:AB59"/>
    <mergeCell ref="Y55:Z55"/>
    <mergeCell ref="AA55:AB55"/>
    <mergeCell ref="Y56:Z56"/>
    <mergeCell ref="AA56:AB56"/>
    <mergeCell ref="Y53:Z53"/>
    <mergeCell ref="AA53:AB53"/>
    <mergeCell ref="Y54:Z54"/>
    <mergeCell ref="Y60:Z60"/>
    <mergeCell ref="AA60:AB60"/>
    <mergeCell ref="Y57:Z57"/>
    <mergeCell ref="AA57:AB57"/>
    <mergeCell ref="Y58:Z58"/>
    <mergeCell ref="AA58:AB58"/>
    <mergeCell ref="AA54:AB54"/>
    <mergeCell ref="Y51:Z51"/>
    <mergeCell ref="AA51:AB51"/>
    <mergeCell ref="Y52:Z52"/>
    <mergeCell ref="AA52:AB52"/>
    <mergeCell ref="Y49:Z49"/>
    <mergeCell ref="AA49:AB49"/>
    <mergeCell ref="Y50:Z50"/>
    <mergeCell ref="AA50:AB50"/>
    <mergeCell ref="Y47:Z47"/>
    <mergeCell ref="AA47:AB47"/>
    <mergeCell ref="Y48:Z48"/>
    <mergeCell ref="AA48:AB48"/>
    <mergeCell ref="Y45:Z45"/>
    <mergeCell ref="AA45:AB45"/>
    <mergeCell ref="Y46:Z46"/>
    <mergeCell ref="AA46:AB46"/>
    <mergeCell ref="Y43:Z43"/>
    <mergeCell ref="AA43:AB43"/>
    <mergeCell ref="Y44:Z44"/>
    <mergeCell ref="AA44:AB44"/>
    <mergeCell ref="Y41:Z41"/>
    <mergeCell ref="AA41:AB41"/>
    <mergeCell ref="Y42:Z42"/>
    <mergeCell ref="AA42:AB42"/>
    <mergeCell ref="Y39:Z39"/>
    <mergeCell ref="AA39:AB39"/>
    <mergeCell ref="Y40:Z40"/>
    <mergeCell ref="AA40:AB40"/>
    <mergeCell ref="Y37:Z37"/>
    <mergeCell ref="AA37:AB37"/>
    <mergeCell ref="Y38:Z38"/>
    <mergeCell ref="AA38:AB38"/>
    <mergeCell ref="Y35:Z35"/>
    <mergeCell ref="AA35:AB35"/>
    <mergeCell ref="Y36:Z36"/>
    <mergeCell ref="AA36:AB36"/>
    <mergeCell ref="Y33:Z33"/>
    <mergeCell ref="AA33:AB33"/>
    <mergeCell ref="Y34:Z34"/>
    <mergeCell ref="AA34:AB34"/>
    <mergeCell ref="Y31:Z31"/>
    <mergeCell ref="AA31:AB31"/>
    <mergeCell ref="Y32:Z32"/>
    <mergeCell ref="AA32:AB32"/>
    <mergeCell ref="Y29:Z29"/>
    <mergeCell ref="AA29:AB29"/>
    <mergeCell ref="Y30:Z30"/>
    <mergeCell ref="AA30:AB30"/>
    <mergeCell ref="Y27:Z27"/>
    <mergeCell ref="AA27:AB27"/>
    <mergeCell ref="Y28:Z28"/>
    <mergeCell ref="AA28:AB28"/>
    <mergeCell ref="L55:M55"/>
    <mergeCell ref="L56:M56"/>
    <mergeCell ref="L57:M57"/>
    <mergeCell ref="L58:M58"/>
    <mergeCell ref="L51:M51"/>
    <mergeCell ref="L52:M52"/>
    <mergeCell ref="L53:M53"/>
    <mergeCell ref="L54:M54"/>
    <mergeCell ref="L47:M47"/>
    <mergeCell ref="L48:M48"/>
    <mergeCell ref="L49:M49"/>
    <mergeCell ref="L50:M50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Y26:Z26"/>
    <mergeCell ref="AA26:AB26"/>
    <mergeCell ref="T26:U26"/>
    <mergeCell ref="Q26:R26"/>
    <mergeCell ref="Y24:Z24"/>
    <mergeCell ref="Y25:Z25"/>
    <mergeCell ref="AA24:AB24"/>
    <mergeCell ref="AA25:AB25"/>
    <mergeCell ref="Q57:R57"/>
    <mergeCell ref="Q58:R58"/>
    <mergeCell ref="Q59:R59"/>
    <mergeCell ref="T24:U24"/>
    <mergeCell ref="T25:U25"/>
    <mergeCell ref="T27:U27"/>
    <mergeCell ref="T28:U28"/>
    <mergeCell ref="T29:U29"/>
    <mergeCell ref="T30:U30"/>
    <mergeCell ref="T31:U31"/>
    <mergeCell ref="Q53:R53"/>
    <mergeCell ref="Q54:R54"/>
    <mergeCell ref="Q55:R55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41:R41"/>
    <mergeCell ref="Q42:R42"/>
    <mergeCell ref="Q43:R43"/>
    <mergeCell ref="Q44:R44"/>
    <mergeCell ref="Q37:R37"/>
    <mergeCell ref="Q38:R38"/>
    <mergeCell ref="Q39:R39"/>
    <mergeCell ref="Q40:R40"/>
    <mergeCell ref="I59:J59"/>
    <mergeCell ref="I60:J60"/>
    <mergeCell ref="Q29:R29"/>
    <mergeCell ref="Q30:R30"/>
    <mergeCell ref="Q31:R31"/>
    <mergeCell ref="Q32:R32"/>
    <mergeCell ref="Q33:R33"/>
    <mergeCell ref="Q34:R34"/>
    <mergeCell ref="Q35:R35"/>
    <mergeCell ref="Q36:R36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I31:J31"/>
    <mergeCell ref="I32:J32"/>
    <mergeCell ref="I33:J33"/>
    <mergeCell ref="I34:J34"/>
    <mergeCell ref="G60:H60"/>
    <mergeCell ref="I24:J24"/>
    <mergeCell ref="I25:J25"/>
    <mergeCell ref="Q27:R27"/>
    <mergeCell ref="Q28:R28"/>
    <mergeCell ref="I26:J26"/>
    <mergeCell ref="I27:J27"/>
    <mergeCell ref="I28:J28"/>
    <mergeCell ref="I29:J29"/>
    <mergeCell ref="I30:J30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E59:F59"/>
    <mergeCell ref="E60:F60"/>
    <mergeCell ref="G24:H24"/>
    <mergeCell ref="G25:H25"/>
    <mergeCell ref="G26:H26"/>
    <mergeCell ref="G27:H27"/>
    <mergeCell ref="G28:H28"/>
    <mergeCell ref="G29:H29"/>
    <mergeCell ref="G30:H30"/>
    <mergeCell ref="G31:H31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C59:D59"/>
    <mergeCell ref="C60:D60"/>
    <mergeCell ref="Z19:AA19"/>
    <mergeCell ref="E24:F24"/>
    <mergeCell ref="E25:F25"/>
    <mergeCell ref="E26:F26"/>
    <mergeCell ref="E27:F27"/>
    <mergeCell ref="E28:F28"/>
    <mergeCell ref="E29:F29"/>
    <mergeCell ref="E30:F30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T3:W3"/>
    <mergeCell ref="T4:W4"/>
    <mergeCell ref="T5:W5"/>
    <mergeCell ref="F14:G14"/>
    <mergeCell ref="G8:H8"/>
    <mergeCell ref="K8:L8"/>
    <mergeCell ref="B10:W10"/>
    <mergeCell ref="B21:W21"/>
    <mergeCell ref="O17:P17"/>
    <mergeCell ref="O18:P18"/>
    <mergeCell ref="T7:W7"/>
    <mergeCell ref="U17:V17"/>
    <mergeCell ref="T12:U12"/>
    <mergeCell ref="S20:T20"/>
    <mergeCell ref="E18:G18"/>
    <mergeCell ref="O14:P14"/>
    <mergeCell ref="O15:P15"/>
    <mergeCell ref="C22:D22"/>
    <mergeCell ref="E22:F22"/>
    <mergeCell ref="G23:H23"/>
    <mergeCell ref="C23:D23"/>
    <mergeCell ref="E23:F23"/>
    <mergeCell ref="C24:D24"/>
    <mergeCell ref="C25:D25"/>
    <mergeCell ref="C26:D26"/>
    <mergeCell ref="N24:O24"/>
    <mergeCell ref="L26:M26"/>
    <mergeCell ref="N26:O26"/>
    <mergeCell ref="L23:M23"/>
    <mergeCell ref="Q25:R25"/>
    <mergeCell ref="N25:O25"/>
    <mergeCell ref="L24:M24"/>
    <mergeCell ref="L25:M25"/>
    <mergeCell ref="Q24:R24"/>
    <mergeCell ref="Y22:AB22"/>
    <mergeCell ref="Y23:Z23"/>
    <mergeCell ref="AA23:AB23"/>
    <mergeCell ref="AK15:AK16"/>
    <mergeCell ref="B1:W2"/>
    <mergeCell ref="V22:W23"/>
    <mergeCell ref="T23:U23"/>
    <mergeCell ref="G22:J22"/>
    <mergeCell ref="P22:U22"/>
    <mergeCell ref="N23:O23"/>
    <mergeCell ref="K22:O22"/>
    <mergeCell ref="Q23:R23"/>
    <mergeCell ref="S17:T17"/>
    <mergeCell ref="I23:J23"/>
  </mergeCells>
  <printOptions/>
  <pageMargins left="0.6692913385826772" right="0" top="0.7874015748031497" bottom="0.3937007874015748" header="0.31496062992125984" footer="0.31496062992125984"/>
  <pageSetup fitToHeight="1" fitToWidth="1" horizontalDpi="1200" verticalDpi="12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65"/>
  <sheetViews>
    <sheetView zoomScaleSheetLayoutView="100" workbookViewId="0" topLeftCell="A1">
      <selection activeCell="L5" sqref="L5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229" t="s">
        <v>30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2:21" ht="11.25" customHeight="1">
      <c r="B2" s="26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</row>
    <row r="3" spans="1:21" ht="11.25" customHeight="1">
      <c r="A3" s="3">
        <v>1</v>
      </c>
      <c r="B3" s="4" t="s">
        <v>16</v>
      </c>
      <c r="C3" s="5"/>
      <c r="D3" s="5"/>
      <c r="E3" s="29" t="e">
        <f>project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17</v>
      </c>
      <c r="Q3" s="11"/>
      <c r="R3" s="270" t="e">
        <f>jobno</f>
        <v>#NAME?</v>
      </c>
      <c r="S3" s="270"/>
      <c r="T3" s="270"/>
      <c r="U3" s="271"/>
    </row>
    <row r="4" spans="1:21" ht="11.25" customHeight="1">
      <c r="A4" s="3">
        <v>2</v>
      </c>
      <c r="B4" s="6" t="s">
        <v>18</v>
      </c>
      <c r="C4" s="7"/>
      <c r="D4" s="7"/>
      <c r="E4" s="30" t="e">
        <f>client</f>
        <v>#NAME?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19</v>
      </c>
      <c r="Q4" s="7"/>
      <c r="R4" s="200" t="s">
        <v>31</v>
      </c>
      <c r="S4" s="200"/>
      <c r="T4" s="200"/>
      <c r="U4" s="201"/>
    </row>
    <row r="5" spans="1:21" ht="11.25" customHeight="1">
      <c r="A5" s="3">
        <v>3</v>
      </c>
      <c r="B5" s="6" t="s">
        <v>20</v>
      </c>
      <c r="C5" s="7"/>
      <c r="D5" s="7"/>
      <c r="E5" s="30" t="e">
        <f>contractor</f>
        <v>#NAME?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21</v>
      </c>
      <c r="Q5" s="7"/>
      <c r="R5" s="202" t="s">
        <v>22</v>
      </c>
      <c r="S5" s="202"/>
      <c r="T5" s="202"/>
      <c r="U5" s="114"/>
    </row>
    <row r="6" spans="1:21" ht="11.25" customHeight="1">
      <c r="A6" s="3">
        <v>4</v>
      </c>
      <c r="B6" s="9" t="s">
        <v>23</v>
      </c>
      <c r="C6" s="8"/>
      <c r="D6" s="8"/>
      <c r="E6" s="31" t="e">
        <f>code</f>
        <v>#NAME?</v>
      </c>
      <c r="F6" s="8"/>
      <c r="G6" s="8"/>
      <c r="H6" s="8"/>
      <c r="I6" s="8"/>
      <c r="J6" s="8"/>
      <c r="K6" s="8"/>
      <c r="L6" s="8"/>
      <c r="M6" s="8"/>
      <c r="N6" s="8"/>
      <c r="O6" s="8"/>
      <c r="P6" s="25" t="s">
        <v>24</v>
      </c>
      <c r="Q6" s="25"/>
      <c r="R6" s="26">
        <v>0</v>
      </c>
      <c r="S6" s="27"/>
      <c r="T6" s="27"/>
      <c r="U6" s="28"/>
    </row>
    <row r="7" spans="1:21" ht="11.25" customHeight="1">
      <c r="A7" s="3">
        <v>5</v>
      </c>
      <c r="B7" s="10" t="s">
        <v>25</v>
      </c>
      <c r="C7" s="11"/>
      <c r="D7" s="11"/>
      <c r="E7" s="32" t="e">
        <f>service</f>
        <v>#NAME?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26</v>
      </c>
      <c r="Q7" s="11"/>
      <c r="R7" s="263" t="e">
        <f>itemno</f>
        <v>#NAME?</v>
      </c>
      <c r="S7" s="263"/>
      <c r="T7" s="263"/>
      <c r="U7" s="264"/>
    </row>
    <row r="8" spans="1:21" ht="11.25" customHeight="1">
      <c r="A8" s="3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205" t="s">
        <v>15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50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1.25" customHeight="1">
      <c r="A12" s="3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spans="1:21" ht="11.25" customHeight="1">
      <c r="A23" s="3">
        <v>21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3"/>
    </row>
    <row r="25" spans="1:21" ht="11.25" customHeight="1">
      <c r="A25" s="3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205" t="s">
        <v>15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50"/>
    </row>
    <row r="28" spans="1:21" ht="11.25" customHeight="1">
      <c r="A28" s="3">
        <v>26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"/>
    </row>
    <row r="29" spans="1:21" ht="11.25" customHeight="1">
      <c r="A29" s="3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ht="11.25" customHeight="1">
      <c r="A30" s="3">
        <v>28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1.25" customHeight="1">
      <c r="A33" s="3">
        <v>31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2"/>
    </row>
    <row r="34" spans="1:21" ht="11.25" customHeight="1">
      <c r="A34" s="3">
        <v>32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3"/>
    </row>
    <row r="35" spans="1:2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205" t="s">
        <v>15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50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27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20" t="s">
        <v>28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20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20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20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21" t="s">
        <v>29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19" t="e">
        <f>cosymbol</f>
        <v>#NAME?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33" t="e">
        <f>coname</f>
        <v>#NAME?</v>
      </c>
    </row>
    <row r="64" ht="11.25" customHeight="1">
      <c r="A64" s="3"/>
    </row>
    <row r="65" ht="11.25" customHeight="1">
      <c r="A65" s="3"/>
    </row>
  </sheetData>
  <mergeCells count="8">
    <mergeCell ref="B1:U2"/>
    <mergeCell ref="R3:U3"/>
    <mergeCell ref="R4:U4"/>
    <mergeCell ref="R5:U5"/>
    <mergeCell ref="R7:U7"/>
    <mergeCell ref="B10:U10"/>
    <mergeCell ref="B27:U27"/>
    <mergeCell ref="B42:U42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2013-09-30T11:32:54Z</cp:lastPrinted>
  <dcterms:created xsi:type="dcterms:W3CDTF">2003-02-24T11:18:01Z</dcterms:created>
  <dcterms:modified xsi:type="dcterms:W3CDTF">2015-10-13T09:47:36Z</dcterms:modified>
  <cp:category/>
  <cp:version/>
  <cp:contentType/>
  <cp:contentStatus/>
</cp:coreProperties>
</file>